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600" firstSheet="3" activeTab="4"/>
  </bookViews>
  <sheets>
    <sheet name="Расчет" sheetId="1" state="hidden" r:id="rId1"/>
    <sheet name="ДИПИ" sheetId="2" state="hidden" r:id="rId2"/>
    <sheet name="Все" sheetId="3" state="hidden" r:id="rId3"/>
    <sheet name="Полустационар_2020" sheetId="4" r:id="rId4"/>
    <sheet name="Надомное _2020" sheetId="5" r:id="rId5"/>
  </sheets>
  <definedNames>
    <definedName name="_xlnm._FilterDatabase" localSheetId="1" hidden="1">'ДИПИ'!$B$8:$X$85</definedName>
    <definedName name="_xlnm._FilterDatabase" localSheetId="0" hidden="1">'Расчет'!$B$8:$X$84</definedName>
    <definedName name="_xlnm.Print_Titles" localSheetId="2">'Все'!$A:$E,'Все'!$4:$4</definedName>
    <definedName name="_xlnm.Print_Area" localSheetId="2">'Все'!$A$2:$AA$45</definedName>
    <definedName name="_xlnm.Print_Area" localSheetId="1">'ДИПИ'!$A$1:$AH$84</definedName>
    <definedName name="_xlnm.Print_Area" localSheetId="0">'Расчет'!$A$1:$AL$83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доля клиентов нуждающихся в помощи ниже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доля клиентов нуждающихся в помощи ниже</t>
        </r>
      </text>
    </comment>
  </commentList>
</comments>
</file>

<file path=xl/sharedStrings.xml><?xml version="1.0" encoding="utf-8"?>
<sst xmlns="http://schemas.openxmlformats.org/spreadsheetml/2006/main" count="912" uniqueCount="317">
  <si>
    <t>специалист</t>
  </si>
  <si>
    <t>соц.раб.</t>
  </si>
  <si>
    <t>младший мед персонал</t>
  </si>
  <si>
    <t>юристконсульт</t>
  </si>
  <si>
    <t>парикмахер</t>
  </si>
  <si>
    <t>культорганизатор</t>
  </si>
  <si>
    <t>педагогический работник (сироты)</t>
  </si>
  <si>
    <t>средний мед персонал</t>
  </si>
  <si>
    <t>персонал кухни</t>
  </si>
  <si>
    <t>коэффициент удорожания (педраб сир/психлогу)</t>
  </si>
  <si>
    <t>психолог</t>
  </si>
  <si>
    <t>педагогический работник</t>
  </si>
  <si>
    <t>врач</t>
  </si>
  <si>
    <t>библиотекарь</t>
  </si>
  <si>
    <t>коэффициент удорож пед.раб.к педраб сир</t>
  </si>
  <si>
    <t>воспитатель/культорг</t>
  </si>
  <si>
    <t>Стандарт социальных услуг, входящих в перечень социальных услуг, предоставляемых поставщиками социальных услуг в стационарной форме</t>
  </si>
  <si>
    <t>спциалист/воспитатель</t>
  </si>
  <si>
    <t>№ п/п</t>
  </si>
  <si>
    <t>Наименование социальной услуги</t>
  </si>
  <si>
    <t>Описание социальной услуги, в том числе объем</t>
  </si>
  <si>
    <t>Кратность оказания государственной услуги в месяц</t>
  </si>
  <si>
    <t>Стоимость единицы социальной услуги (оплата труда)</t>
  </si>
  <si>
    <t>Стоимость ГОС услуги в месяц</t>
  </si>
  <si>
    <t>Стоимость единицы социальной услуги (материальные запасы, общехозяйственные расходы)</t>
  </si>
  <si>
    <t>Стоимость единицы социальной услуги, прямые расходы, всего  (человек/день)</t>
  </si>
  <si>
    <t>Косвенные расходы расходы, всего  (человек/день)</t>
  </si>
  <si>
    <t>коэффициенты</t>
  </si>
  <si>
    <t>значения</t>
  </si>
  <si>
    <t>заработная плата</t>
  </si>
  <si>
    <t>материальные запасы</t>
  </si>
  <si>
    <t>Время оказания социальной услуги 1 раз 1 чел. (мин.)</t>
  </si>
  <si>
    <t>количество раз оказания услуги в день</t>
  </si>
  <si>
    <t>Персонал, предоставляющий социальную услугу</t>
  </si>
  <si>
    <t>ПНИ</t>
  </si>
  <si>
    <t>ДИПИ (отделения)</t>
  </si>
  <si>
    <t>МДИУОД</t>
  </si>
  <si>
    <t>Базовый</t>
  </si>
  <si>
    <t>ДИПИ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</si>
  <si>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Социально-бытовые услуги:</t>
    </r>
  </si>
  <si>
    <t>1.1.</t>
  </si>
  <si>
    <r>
      <t xml:space="preserve">Предоставление площади жилых помещений в соответствии с утвержденными нормативам
</t>
    </r>
    <r>
      <rPr>
        <sz val="12"/>
        <color indexed="10"/>
        <rFont val="Times New Roman"/>
        <family val="1"/>
      </rPr>
      <t>человек/день</t>
    </r>
  </si>
  <si>
    <r>
      <t xml:space="preserve">обеспечение площадью жилых (спальных) помещений на одно место:
- в доме-интернате (отделении) для престарелых и инвалидов, в том числе специальном отделении, отделении временного проживания - не менее 6 кв. м;
</t>
    </r>
    <r>
      <rPr>
        <sz val="12"/>
        <color indexed="10"/>
        <rFont val="Times New Roman"/>
        <family val="1"/>
      </rPr>
      <t>Помещение обрудовано мебелью????</t>
    </r>
    <r>
      <rPr>
        <sz val="12"/>
        <color indexed="8"/>
        <rFont val="Times New Roman"/>
        <family val="1"/>
      </rPr>
      <t xml:space="preserve">
</t>
    </r>
  </si>
  <si>
    <t>мл.мед.</t>
  </si>
  <si>
    <t>санитарка</t>
  </si>
  <si>
    <t>основные средства, моющие средства</t>
  </si>
  <si>
    <t>- в психоневрологическом интернате (отделении молодых инвалидов) - не менее 6 кв. м;</t>
  </si>
  <si>
    <t>- доме-интернате для умственно отсталых детей – не менее 6 кв.м.</t>
  </si>
  <si>
    <t xml:space="preserve">Супружеским парам предоставляется отдельное жилое помещение
</t>
  </si>
  <si>
    <t>Обеспечение выполнения санитарно-гигиенических требований в жилых помещениях и местах общего пользования (2 раза в день, ежедневно)</t>
  </si>
  <si>
    <t>1.2.</t>
  </si>
  <si>
    <t>Обеспечение питанием  в соответствии с утвержденными нормативами (человек/день)</t>
  </si>
  <si>
    <t>Прием пищи в помещении столовой или жилых комнатах в соответствии с состоянием здоровья 4 раза в день. Кратность лечебного питания по назначению врача</t>
  </si>
  <si>
    <t>кух</t>
  </si>
  <si>
    <t>шеф-повар, повар, кухонный рабочий, кладовщик</t>
  </si>
  <si>
    <t>продукты, посуда
К-т удорожания для детей - 1,25</t>
  </si>
  <si>
    <t>1.3.</t>
  </si>
  <si>
    <t>Обеспечение мягким инвентарем (одеждой, обувью, нательным бельем и постельными принадлежностями) в соответствии с утвержденными нормативами
человек/день</t>
  </si>
  <si>
    <t xml:space="preserve">Обеспечение документального оформления предусмотренного к выдаче клиенту мягкого инвентаря и выдача/смена одежды, обуви, нательного белья, постельных принадлежностей в     соответствии с разработанным в учреждении порядком и      
графиком.                                                 
Одежда, обувь, нательное белье должны соответствовать росту и размерам и, по возможности, запросам клиентов по  фасону и расцветке. Постельные принадлежности должны соответствовать санитарно-гигиеническим нормам            
</t>
  </si>
  <si>
    <t>сестра-хозяйка, санитарка</t>
  </si>
  <si>
    <t>К удорожания: психоневрология - на замену мягкого инвентаря - 3</t>
  </si>
  <si>
    <t>1.4.</t>
  </si>
  <si>
    <t>Помощь в приеме пищи (кормление)
чел/день</t>
  </si>
  <si>
    <t xml:space="preserve"> кормление и питье;
гигиенические процедуры после приема пищи (полоскание полости рта, умывание);
уборка посуды
Предоставляется 4 раза в день. При лечебном питании кратность по назначению врача
</t>
  </si>
  <si>
    <t>санитарка, младшая медицинская сестра</t>
  </si>
  <si>
    <t>К удорожания: дети - 1,25, общий профиль - 0,5</t>
  </si>
  <si>
    <t>1.5.</t>
  </si>
  <si>
    <t>Обеспечение за счет средств получателя социальной услуги книгами, журналами, газетами, настольными играми
человек/день</t>
  </si>
  <si>
    <t>- оформление подписки на периодические печатные издания  за счет средств получателя социальной  услуги (заполнение и оплата квитанций на подписку) 2 раза в год;
- приобретение книг, журналов, газет за счет средств получателя социальной услуги в торговых точках 1 раз в неделю</t>
  </si>
  <si>
    <t>биб</t>
  </si>
  <si>
    <t>1.6.</t>
  </si>
  <si>
    <t>Предоставление гигиенических услуг лицам, не способным по состоянию здоровья самостоятельно осуществлять за собой уход (человек/день)</t>
  </si>
  <si>
    <t>К-т на детей -1,5</t>
  </si>
  <si>
    <t>- замена памперса с обтиранием, подмыванием лежачих больных по мере необходимости, но не реже 3 раза в день (в соответствии с рекомендацией ИПР);</t>
  </si>
  <si>
    <t>санитарка,младшая медицинская сестра</t>
  </si>
  <si>
    <t>- помощь в умывании, в ухаживании за зубами или челюстью 2 раза в день;</t>
  </si>
  <si>
    <t>помощь в принятии ванны, душа  по мере необходимости, но не реже 1 раза в 7 дней;</t>
  </si>
  <si>
    <t>санитарка-ваннщица</t>
  </si>
  <si>
    <t>К-т на детей -2</t>
  </si>
  <si>
    <r>
      <t>питье</t>
    </r>
    <r>
      <rPr>
        <sz val="12"/>
        <rFont val="Times New Roman"/>
        <family val="1"/>
      </rPr>
      <t xml:space="preserve"> по мере необходимости, но не реже 4 раз в день 7 раз в неделю</t>
    </r>
  </si>
  <si>
    <t>К-т на детей -1,25</t>
  </si>
  <si>
    <t>помощь в пользовании туалетом или судном, но не реже 4 раз в день 7 раз в неделю.</t>
  </si>
  <si>
    <t>- мытье головы по мере необходимости, но не реже 1 раза в 7 дней;</t>
  </si>
  <si>
    <t>- стрижка ногтей по мере необходимости, но не реже 1 раза в 7 дней;</t>
  </si>
  <si>
    <t>- бритье бороды и усов (мужчины);</t>
  </si>
  <si>
    <t>- стрижка волос 1 раз в месяц</t>
  </si>
  <si>
    <t>пар</t>
  </si>
  <si>
    <t>1.7.</t>
  </si>
  <si>
    <t>Отправка за счет средств получателя социальных услуг почтовой корреспонденции</t>
  </si>
  <si>
    <t xml:space="preserve">- запись текста письма под диктовку получателя социальной услуги; 
- отправка корреспонденции; 
- оформление писем в электронном виде и отправка их электронной почтой (по его просьбе).
Предоставляется 1 раз в месяц
</t>
  </si>
  <si>
    <t>спец.</t>
  </si>
  <si>
    <t>специалист по социальной работе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</si>
  <si>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Социально-медицинские услуги:</t>
    </r>
  </si>
  <si>
    <t>2.1.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</si>
  <si>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приемам лекарств и др.), человек/день</t>
  </si>
  <si>
    <t>- измерение температуры тела по назначению врача с ведением температурного листа</t>
  </si>
  <si>
    <t>ср.мед.</t>
  </si>
  <si>
    <t>медицинская сестра</t>
  </si>
  <si>
    <t>- измерение артериального давления и пульса</t>
  </si>
  <si>
    <t xml:space="preserve"> - осмотр и оценка состояния здоровья. Предоставляется: в психоневрологических интернатах, учреждениях для детей -  1 раз в день 5 раз в неделю;
в ДИПИ - 2 раза в неделю; 
</t>
  </si>
  <si>
    <t xml:space="preserve">Врач-психиатр,врач-терапевт </t>
  </si>
  <si>
    <t xml:space="preserve">- выписка рецептов на лекарственные препараты, оформление медицинской документации (амбулаторные карты, листы назначений и т.д.) Предоставляется 1 раз в день 5 раз в неделю; в ДИПИ - 1 раз в месяц; </t>
  </si>
  <si>
    <t>Врач-психиатр, врач-терапевт</t>
  </si>
  <si>
    <t xml:space="preserve"> - наблюдение за своевременным приемом  лекарственных препаратов, назначенных врачом, помощь в приеме лекарств по назначению врача. Предоставляется по мере необходимости, но не реже 2 раз в день 5 раз в неделю, дети- 7 раз в неделю</t>
  </si>
  <si>
    <t xml:space="preserve"> фельдшер, медицинская сестра</t>
  </si>
  <si>
    <t>- инъекции по назначению врача. Предоставляется по мере необходимости.</t>
  </si>
  <si>
    <t>- перевязка. Предоставляется по мере необходимости.</t>
  </si>
  <si>
    <t>- обработка пролежней, раневых поверхностей. Предоставляется ежедневно при необходимости.</t>
  </si>
  <si>
    <t>- оказание помощи в пользовании катетерами и другими изделиями медицинского назначения. Предоставляется по мере необходимости</t>
  </si>
  <si>
    <t>- профилактика пролежней. Предоставляется ежедневно</t>
  </si>
  <si>
    <t>санитарка, мл.медицинская сестра</t>
  </si>
  <si>
    <t>2.2.</t>
  </si>
  <si>
    <t>Оказание содействия в проведение оздоровительных мероприятий</t>
  </si>
  <si>
    <t>содействие в проведении оздоровительной гимнастики, медицинской реабилитации, предусмотренной индивидуальной программой реабилитации с учетом состояния здоровья и рекомендаций врача</t>
  </si>
  <si>
    <t>содействие в оформлении документов для направления по медицинским показаниям на санаторно-курортное лечение.</t>
  </si>
  <si>
    <t>фельдшер, медицинская сестра</t>
  </si>
  <si>
    <t>2.3.</t>
  </si>
  <si>
    <t>Систематическое наблюдение за получателями социальных услуг в целях выявления отклонений в состоянии их здоровья</t>
  </si>
  <si>
    <t>- проведение лабораторных и функциональных исследований по назначению врача. Предоставляется по мере необходимости</t>
  </si>
  <si>
    <t>- проведение углубленных медицинских осмотров с привлечением врачей специалистов медицинских организаций. Предоставляется  1 раз в год</t>
  </si>
  <si>
    <t>2.4.</t>
  </si>
  <si>
    <t>Консультирование по социально-медицинским вопросам (поддержание и сохранения здоровья получателей социальных услуг, проведение оздоровительных мероприятий, выявление отклонений в состоянии здоровья)</t>
  </si>
  <si>
    <t>- содействие в направлении на консультацию к узким специалистам медицинских организаций. Предоставляется по мере необходимости</t>
  </si>
  <si>
    <t>врач, фельдшер</t>
  </si>
  <si>
    <t xml:space="preserve"> - выполнение медицинской реабилитации (диспансерное наблюдение, восстановительное лечение и тд.) Предоставляется по мере необходимости</t>
  </si>
  <si>
    <t>- содействие в госпитализации в медицинские организации. Предоставляется по мере необходимости</t>
  </si>
  <si>
    <t>врач, фельдшер,</t>
  </si>
  <si>
    <t>- содействие в прохождении медико-социальной экспертизы. Предоставляется по мере необходимости согласно утвержденному графику, не реже 1 раза в год</t>
  </si>
  <si>
    <t>2.5.</t>
  </si>
  <si>
    <t>Проведение мероприятий, направленных на формирование здорового образа жизни</t>
  </si>
  <si>
    <t>- проведение санитарно-просветительных лекций, бесед, тематических занятий о здоровом образе жизни и профилактике возникновения заболеваний. Предоставляется ежедневно по отдельному графику</t>
  </si>
  <si>
    <t>2.6.</t>
  </si>
  <si>
    <t>Проведение занятий по адаптивной физической культуре</t>
  </si>
  <si>
    <t xml:space="preserve">проведение занятий по адаптивной физкультуре и спортивные мероприятия, способствующих формированию и развитию физических, психических, функциональных и волевых качеств и способностей инвалидов.
Предоставление осуществляется в соответствии с рекомендациями индивидуальной программы реабилитации по назначению врача. Проведение утренней гимнастики 
</t>
  </si>
  <si>
    <t>инструктор ЛФК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</si>
  <si>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Социально-психологические услуги</t>
    </r>
  </si>
  <si>
    <t>3.1.</t>
  </si>
  <si>
    <t>Социально-психологическое консультирование, в том числе по вопросам внутрисемейных отношений</t>
  </si>
  <si>
    <t>получение от получателей социальных услуг информации о его проблемах, обсуждение с ним этих проблем для раскрытия и мобилизации внутренних ресурсов и последующего решения его социально-психологическим проблем. Предоставляется ежемесячно.</t>
  </si>
  <si>
    <t>псих</t>
  </si>
  <si>
    <t>психолог, педагог -психолог</t>
  </si>
  <si>
    <t>3.2.</t>
  </si>
  <si>
    <t>Социально-психологический патронаж</t>
  </si>
  <si>
    <t>систематическое наблюдение за получателем социальной услуги для своевременного выявления ситуаций психического дискомфорта или межличностного конфликта, которые могут усугубить трудную жизненную ситуацию.
Предоставляется по мере необходимости, но не реже 1 раз в месяц</t>
  </si>
  <si>
    <t>К удорожания</t>
  </si>
  <si>
    <r>
      <t xml:space="preserve">4. </t>
    </r>
    <r>
      <rPr>
        <b/>
        <sz val="12"/>
        <color indexed="8"/>
        <rFont val="Times New Roman"/>
        <family val="1"/>
      </rPr>
      <t>Социально-педагогические услуги</t>
    </r>
  </si>
  <si>
    <t>4.1.</t>
  </si>
  <si>
    <t>Социально-педагогическая коррекция, включая диагностику и консультирование</t>
  </si>
  <si>
    <r>
      <t>проведение занятий, способствующих социально-бытовой адаптации, направленные на развитие и коррекцию слухового восприятия, познавательного развития, двигательных функций. Проводится 2 раза в неделю (</t>
    </r>
    <r>
      <rPr>
        <sz val="12"/>
        <color indexed="10"/>
        <rFont val="Times New Roman"/>
        <family val="1"/>
      </rPr>
      <t>при предоставлении услуг детям - 5 раз в неделю)</t>
    </r>
  </si>
  <si>
    <r>
      <t xml:space="preserve">психолог, педагог- психолог, учитель, учитель- дефектолог, </t>
    </r>
    <r>
      <rPr>
        <sz val="12"/>
        <color indexed="10"/>
        <rFont val="Times New Roman"/>
        <family val="1"/>
      </rPr>
      <t>воспитатель</t>
    </r>
  </si>
  <si>
    <t>Мероприятия по профилактике возможных нарушений в становлении и развитии личности. Проводится ежеквартально.</t>
  </si>
  <si>
    <t>пед.раб.</t>
  </si>
  <si>
    <t>учитель, учитель- дефектолог</t>
  </si>
  <si>
    <t>4.2.</t>
  </si>
  <si>
    <t>Формирование позитивных интересов (в том числе в сфере досуга)</t>
  </si>
  <si>
    <r>
      <t>анимационные услуги, организация и проведение клубной и кружковой работы для формирования и развития интереса проживающих. Предоставляется ежемесячно по утвержденному плану</t>
    </r>
    <r>
      <rPr>
        <sz val="12"/>
        <color indexed="10"/>
        <rFont val="Times New Roman"/>
        <family val="1"/>
      </rPr>
      <t xml:space="preserve"> (для детей - 2 разв в неделю)</t>
    </r>
  </si>
  <si>
    <t>культ</t>
  </si>
  <si>
    <r>
      <t xml:space="preserve">культорганизатор, </t>
    </r>
    <r>
      <rPr>
        <sz val="12"/>
        <color indexed="10"/>
        <rFont val="Times New Roman"/>
        <family val="1"/>
      </rPr>
      <t>воспитатель</t>
    </r>
  </si>
  <si>
    <t>4.3.</t>
  </si>
  <si>
    <t>Организация досуга (праздники, экскурсии и др. культурные мероприятия)</t>
  </si>
  <si>
    <r>
      <t xml:space="preserve">приобретение билетов за средства получателя социальной услуги;
- информирование о предстоящих культурных мероприятиях; 
- сопровождение при посещении культурных мероприятий (при необходимости в рабочее время).
Предоставляется ежемесячно по утвержденному плану </t>
    </r>
    <r>
      <rPr>
        <sz val="12"/>
        <color indexed="10"/>
        <rFont val="Times New Roman"/>
        <family val="1"/>
      </rPr>
      <t>(для детей - еженедельно).</t>
    </r>
    <r>
      <rPr>
        <sz val="12"/>
        <rFont val="Times New Roman"/>
        <family val="1"/>
      </rPr>
      <t xml:space="preserve">
</t>
    </r>
  </si>
  <si>
    <t>5. Социально-трудовые услуги</t>
  </si>
  <si>
    <t>5.1.</t>
  </si>
  <si>
    <t>Проведение мероприятий по использованию трудовых возможностей и обучению доступным профессиональным навыкам</t>
  </si>
  <si>
    <r>
      <t>обучение  доступным</t>
    </r>
    <r>
      <rPr>
        <sz val="12"/>
        <rFont val="Times New Roman"/>
        <family val="1"/>
      </rPr>
      <t xml:space="preserve"> профессиональным (трудовым)</t>
    </r>
    <r>
      <rPr>
        <sz val="12"/>
        <color indexed="8"/>
        <rFont val="Times New Roman"/>
        <family val="1"/>
      </rPr>
      <t xml:space="preserve"> навыкам, восстановлению личностного и социального статуса в соответствии с рекомендациями врача, индивидуальной программы реабилитации. Предоставляетс</t>
    </r>
    <r>
      <rPr>
        <sz val="12"/>
        <color indexed="10"/>
        <rFont val="Times New Roman"/>
        <family val="1"/>
      </rPr>
      <t xml:space="preserve">я 2 раз в </t>
    </r>
    <r>
      <rPr>
        <sz val="12"/>
        <color indexed="8"/>
        <rFont val="Times New Roman"/>
        <family val="1"/>
      </rPr>
      <t>неделю</t>
    </r>
    <r>
      <rPr>
        <sz val="12"/>
        <color indexed="10"/>
        <rFont val="Times New Roman"/>
        <family val="1"/>
      </rPr>
      <t xml:space="preserve"> (детям -  5 раз в неделю).</t>
    </r>
  </si>
  <si>
    <r>
      <t>инструктор по труду,</t>
    </r>
    <r>
      <rPr>
        <sz val="12"/>
        <color indexed="10"/>
        <rFont val="Times New Roman"/>
        <family val="1"/>
      </rPr>
      <t xml:space="preserve"> воспитатель</t>
    </r>
  </si>
  <si>
    <t>5.2.</t>
  </si>
  <si>
    <t>Оказание помощи в трудоустройстве</t>
  </si>
  <si>
    <t xml:space="preserve">поиск необходимых организаций и предприятий, заключение с ними договоров по трудоустройству получателя социальных услуг, оказание им помощи в трудоустройстве путем переговоров с работодателями и ходатайств перед ними;
содействие в трудоустройстве на рабочие места в самой организации социального обслуживания; учет занятости трудоспособных получателей социальных услуг для решения вопросов их трудовой адаптации. Предоставляется по мере необходимости
</t>
  </si>
  <si>
    <t>5.3.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</si>
  <si>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</si>
  <si>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 xml:space="preserve"> 
</t>
  </si>
  <si>
    <t xml:space="preserve"> оказание помощи в подготовке и подаче документов в учреждения образования; приобретение учебной литературы за средства получателя социальной услуги;
 Предоставляется 1 раз в год. </t>
  </si>
  <si>
    <t>Специальные занятия, направленные на усвоение специальных образовательных программ. По 3 занятия 5 раз в неделю.</t>
  </si>
  <si>
    <r>
      <t xml:space="preserve">педагог-психолог,
логопед,
дефектолог,
учитель. </t>
    </r>
    <r>
      <rPr>
        <sz val="12"/>
        <color indexed="10"/>
        <rFont val="Times New Roman"/>
        <family val="1"/>
      </rPr>
      <t>воспитатель</t>
    </r>
    <r>
      <rPr>
        <sz val="12"/>
        <color indexed="8"/>
        <rFont val="Times New Roman"/>
        <family val="1"/>
      </rPr>
      <t xml:space="preserve">
</t>
    </r>
  </si>
  <si>
    <t>6. Социально-правовые услуги</t>
  </si>
  <si>
    <t>6.1.</t>
  </si>
  <si>
    <t xml:space="preserve">Оказание помощи в оформлении и восстановлении документов получателей социальных услуг </t>
  </si>
  <si>
    <t xml:space="preserve"> - заполнение форменных бланков;
 - написание писем и заявлений в соответствующие инстанции под диктовку;
 - запись  на прием к специалистам этих органов по просьбе получателя социальной услуги;
 -  отправка документов по почте или доставка по адресу. Предоставляется по мере необходимости, но не реже 1 раз в квартал.</t>
  </si>
  <si>
    <t>6.2.</t>
  </si>
  <si>
    <t xml:space="preserve">Оказание помощи в получении юридических услуг, в том числе бесплатных  </t>
  </si>
  <si>
    <t xml:space="preserve"> - информирование получателя социальной  услуги о возможности получения бесплатной юридической помощи; 
Предоставляется ежеквартально.</t>
  </si>
  <si>
    <t xml:space="preserve">юрисконсульт, специалист по социальной работе, </t>
  </si>
  <si>
    <t>6.3.</t>
  </si>
  <si>
    <t xml:space="preserve">Оказание помощи в защите прав и законных интересов получателей социальных услуг в установленном законодательством порядке  </t>
  </si>
  <si>
    <t xml:space="preserve"> - обеспечение представительствова в суде для защиты прав и интересов получателя социальных услуг;
 - содействие во внеочередном обеспечении жилым помещением в случае отказа от услуг поставщика социальных услуг, или при установлении 3 группы инвалидности (кроме мужчин старше 60 лет, женщин старше 55 лет) Предоставляется по мере необходимости, но не чаще 4 раз в год. </t>
  </si>
  <si>
    <t>юрисконсульт, специалист по социальной работе</t>
  </si>
  <si>
    <t xml:space="preserve"> 7. Услуги в целях повышения коммуникативного потенциала получателей социальных услуг, имеющих ограничения жизнедеятельности</t>
  </si>
  <si>
    <t>7.1.</t>
  </si>
  <si>
    <t>Обучение инвалидов (детей-инвалидов) пользованию средствами ухода и техническими средствами реабилитации</t>
  </si>
  <si>
    <t xml:space="preserve"> обучение практическим навыкам умения самостоятельно пользоваться средствами ухода и техническими средствами реабилитации..
</t>
  </si>
  <si>
    <r>
      <t xml:space="preserve">инструктор ЛФК, медицинская сестра, </t>
    </r>
    <r>
      <rPr>
        <sz val="12"/>
        <color indexed="10"/>
        <rFont val="Times New Roman"/>
        <family val="1"/>
      </rPr>
      <t>воспитатель</t>
    </r>
  </si>
  <si>
    <t>7.2.</t>
  </si>
  <si>
    <t>Проведение социально-реабилитационных мероприятий в сфере социального обслуживания</t>
  </si>
  <si>
    <t xml:space="preserve">на основании индивидуальных программ реабилитации с учетом разработанных мероприятий по социальной реабилитации. Предоставляется 5 раз в неделю                                  </t>
  </si>
  <si>
    <t>специалист по социальной работе, специалист по реабилитации инвалидов</t>
  </si>
  <si>
    <t>7.3.</t>
  </si>
  <si>
    <t>Обучение навыкам поведения в быту и общественных местах</t>
  </si>
  <si>
    <r>
      <t xml:space="preserve">проведение </t>
    </r>
    <r>
      <rPr>
        <sz val="12"/>
        <color indexed="8"/>
        <rFont val="Times New Roman"/>
        <family val="1"/>
      </rPr>
      <t xml:space="preserve">специальных занятий, способствующих социально-бытовой, социально-средовой адаптации. Предоставляется 5 раз в неделю                                  </t>
    </r>
  </si>
  <si>
    <r>
      <t xml:space="preserve">специалист по социальной работе, специалист по реабилитации инвалидов, </t>
    </r>
    <r>
      <rPr>
        <sz val="12"/>
        <color indexed="10"/>
        <rFont val="Times New Roman"/>
        <family val="1"/>
      </rPr>
      <t>воспитатель</t>
    </r>
  </si>
  <si>
    <t>7.4.</t>
  </si>
  <si>
    <t>Оказание помощи в обучении навыкам компьютерной грамотности</t>
  </si>
  <si>
    <t xml:space="preserve"> - оказание помощи при работе с текстом;
 - обучение поиску информации в Интернете;
 - оказание помощи в получении государственных услуг в электронном виде. 
Курс 1 раз в год</t>
  </si>
  <si>
    <t xml:space="preserve">   </t>
  </si>
  <si>
    <t>Всего в месяц</t>
  </si>
  <si>
    <t>Итого в год на чел.*</t>
  </si>
  <si>
    <t>кол-во получателей в год</t>
  </si>
  <si>
    <t>дети</t>
  </si>
  <si>
    <t>Количество получателей услуг</t>
  </si>
  <si>
    <t>человек</t>
  </si>
  <si>
    <t>АПНИ № 1</t>
  </si>
  <si>
    <t>Кировский ПНИ</t>
  </si>
  <si>
    <t>минут на чел. В день</t>
  </si>
  <si>
    <t xml:space="preserve"> </t>
  </si>
  <si>
    <t>Кандалакшский ДИПИ</t>
  </si>
  <si>
    <t>Ковдорский ДИПИ</t>
  </si>
  <si>
    <t>Оленегорский КЦСОН</t>
  </si>
  <si>
    <t>МДИУОД (дети)</t>
  </si>
  <si>
    <t>Стоимость единицы социальной услуги в день (оплата труда)</t>
  </si>
  <si>
    <t>Стоимость ГОС услуги в день</t>
  </si>
  <si>
    <t>коэффициент удорожания (педраб сир/психологу)</t>
  </si>
  <si>
    <t>юрисконсульт</t>
  </si>
  <si>
    <t>Косвенные расходы</t>
  </si>
  <si>
    <t>Стоимость услуги 1 человек/день</t>
  </si>
  <si>
    <t>Стоимость единицы социальной услуги, расходы, всего  (человек/день)</t>
  </si>
  <si>
    <t>прямые расходы всего (ОП+МЗ)</t>
  </si>
  <si>
    <t>Стоимость соц  услуги в день</t>
  </si>
  <si>
    <t>Стоимость соц услуги в день</t>
  </si>
  <si>
    <t>1.      Социально-бытовые услуги:</t>
  </si>
  <si>
    <t>Предоставление площади жилых помещений в соответствии с утвержденными нормативам
человек/день</t>
  </si>
  <si>
    <t>2.      Социально-медицинские услуги:</t>
  </si>
  <si>
    <t>3.      Социально-психологические услуги</t>
  </si>
  <si>
    <t>4. Социально-педагогические услуги</t>
  </si>
  <si>
    <t>Стоимость услуги в год</t>
  </si>
  <si>
    <t>Итого</t>
  </si>
  <si>
    <t>Контроль</t>
  </si>
  <si>
    <t>Отклонение</t>
  </si>
  <si>
    <t>ПДД</t>
  </si>
  <si>
    <t>Алакурттинский ПНИ</t>
  </si>
  <si>
    <t>АПНИ №1</t>
  </si>
  <si>
    <t>Мурманский ДИПИ</t>
  </si>
  <si>
    <t>Апатитский КЦСОН</t>
  </si>
  <si>
    <t>Мончегорский КЦСОН</t>
  </si>
  <si>
    <t>Кратность оказания государственной услуги в день</t>
  </si>
  <si>
    <t>Кол-во клиентов</t>
  </si>
  <si>
    <t>Стоимость услуги на всех день</t>
  </si>
  <si>
    <t>Всего день</t>
  </si>
  <si>
    <t>ДЕТИ</t>
  </si>
  <si>
    <t>Обеспечение площадью жилых помещений в соответствии с утвержденными нормативами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</si>
  <si>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выявление отклонений в состоянии их здоровья)</t>
  </si>
  <si>
    <t>Оказание помощи в оформлении и восстановлении утраченных документов получателей социальных услуг</t>
  </si>
  <si>
    <t>Оказание помощи в защите прав и  законных интересов получателей социальных услуг</t>
  </si>
  <si>
    <t>Предоставление гигиенических услуг лицам, не способным по состоянию здоровья самостоятельно осуществлять за собой уход</t>
  </si>
  <si>
    <t>Помощь в приеме пищи (кормление)</t>
  </si>
  <si>
    <t>Оказание содействия в проведении оздоровительных мероприятий</t>
  </si>
  <si>
    <t xml:space="preserve">Обеспечение питанием  в соответствии с утвержденными нормативами 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</si>
  <si>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</si>
  <si>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Наименование государственной (социальной) услуги</t>
  </si>
  <si>
    <t xml:space="preserve">Обеспечение мягким инвентарем (одеждой, обувью, нательным бельем и постельными принадлежностями) в соответствии с утвержденными нормативами  
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</si>
  <si>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</si>
  <si>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</si>
  <si>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</si>
  <si>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к этой работе психологов и священнослужителей</t>
  </si>
  <si>
    <t>Обеспечение за счет средств получателя социальной услуги книгами, журналами, газетами, настольными играми</t>
  </si>
  <si>
    <t>Оказание консультационной психологической помощи анонимно (в том числе с использованием телефона доверия)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</si>
  <si>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</si>
  <si>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</si>
  <si>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Обучение инвалидов (детей-инвалидов)  пользованию средствами ухода и техническими средствами реабилитации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</si>
  <si>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</si>
  <si>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Помощь в приготовлении пищи</t>
  </si>
  <si>
    <t xml:space="preserve">Оплата за счет средств получателя социальных услуг жилищно-коммунальных услуг и услуг связи
</t>
  </si>
  <si>
    <t>Сдача за счет средств получателя социальных услуг вещей в стирку, химчистку, ремонт, обратная их доставка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</si>
  <si>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</si>
  <si>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Организация помощи в проведении ремонта жилых помещений</t>
  </si>
  <si>
    <t>Обеспечение кратковременного присмотра за детьми</t>
  </si>
  <si>
    <t>Уборка жилых помещений</t>
  </si>
  <si>
    <t>ВСЕГО</t>
  </si>
  <si>
    <t>Дневное пребывание</t>
  </si>
  <si>
    <t>Всего  человек</t>
  </si>
  <si>
    <t>Объем услуг</t>
  </si>
  <si>
    <t>Круглосуточное пребывание</t>
  </si>
  <si>
    <t>IV. Социально-педагогические услуги, всего:</t>
  </si>
  <si>
    <t>V. Социально-трудовые услуги, всего:</t>
  </si>
  <si>
    <t>VI. Социально-правовые услуги, всего:</t>
  </si>
  <si>
    <t xml:space="preserve">VII. </t>
  </si>
  <si>
    <t>Услуги в целях повышения коммуникативного потенциала получателей социальных услуг, имеющих ограничения жизнедеятельности, всего:</t>
  </si>
  <si>
    <t>Человек</t>
  </si>
  <si>
    <t>VIII. Срочные социальные услуги, всего:</t>
  </si>
  <si>
    <t>в том чмсле бесплатные категории, чел. (п. 1.1 ст. 10 ЗМО № 1818-01-ЗМО)</t>
  </si>
  <si>
    <t>Граждане пожилого возраста и инвалиды             (п. 1 ст. 15  № 442-ФЗ)</t>
  </si>
  <si>
    <t>Дети-инвалиды (п. 2 ст. 15 № 442-ФЗ)</t>
  </si>
  <si>
    <t>Несовершеннолетние,находящиеся в СОП (п. 4 ст. 15 № 442-ФЗ)</t>
  </si>
  <si>
    <t xml:space="preserve">Кризисное отделение для женщин (п. 5 ст. 15 № 442-ФЗ) </t>
  </si>
  <si>
    <t>в том числе бесплатные категории, чел. (п. 1.1 ст. 10 ЗМО № 1818-01-ЗМО)</t>
  </si>
  <si>
    <t xml:space="preserve">Лица БОМЖ (п. 6 ст. ст. 15 № 442-ФЗ) </t>
  </si>
  <si>
    <t xml:space="preserve"> Социально-психологические услуги, всего:</t>
  </si>
  <si>
    <t>Дети-инвалиды              (п. 2 ст. 15 № 442-ФЗ)</t>
  </si>
  <si>
    <t xml:space="preserve"> Социально-медицинские услуги, всего:</t>
  </si>
  <si>
    <t>Предоставление социального обслуживания в полустационарной форме</t>
  </si>
  <si>
    <t>Граждане пожилого возраста и инвалиды, частично утратившие способность к самообслуживанию (п. 1 ст. 15 № 442-ФЗ)</t>
  </si>
  <si>
    <t>Граждане пожилого возраста и инвалиды, полностью утратившие способность к самообслуживанию (п. 1 ст. 15 № 442-ФЗ)</t>
  </si>
  <si>
    <t>Молодые инвалиды             (п. 1 ст. 15 № 442-ФЗ)</t>
  </si>
  <si>
    <t>Предоставление социального обслуживания в форме на дому</t>
  </si>
  <si>
    <t xml:space="preserve">Лица без средств и освободившиеся          (п. 7 ст. 15 № 442-ФЗ) </t>
  </si>
  <si>
    <t>I.      Социально-бытовые услуги, всего:</t>
  </si>
  <si>
    <t>Категория получателей (в соответствии со стандартом оказания социальных услуг) (тождественность)</t>
  </si>
  <si>
    <t>Условия пребывания, категория получателей (в соответствии со стандартом оказания социальных услуг) (тождественность)</t>
  </si>
  <si>
    <t>II.     </t>
  </si>
  <si>
    <r>
      <t>III.</t>
    </r>
    <r>
      <rPr>
        <sz val="12"/>
        <color indexed="8"/>
        <rFont val="Times New Roman"/>
        <family val="1"/>
      </rPr>
      <t>     </t>
    </r>
  </si>
  <si>
    <t>Обеспечение бесплатным горячим питанием или наборами продуктов</t>
  </si>
  <si>
    <t>в том числе бесплатные категории, чел.   (п. 1.1   ст. 10 ЗМО № 1818-01-ЗМО)</t>
  </si>
  <si>
    <t>4</t>
  </si>
  <si>
    <t>III. Социально-психологические услуги, всего:</t>
  </si>
  <si>
    <t>II. Социально-медицинские услуги, всего:</t>
  </si>
  <si>
    <t>I. Социально-бытовые услуги, всего:</t>
  </si>
  <si>
    <t>Сведения об объемах государственных услуг, в том числе социальных услуг по видам социальных услуг, входящих в перечень социальных услуг, предоставляемых государственными областными учреждениями социального обслуживания населения в 2020 году</t>
  </si>
  <si>
    <t>Объем услуг*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</si>
</sst>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  <numFmt numFmtId="165" formatCode="0.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trike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4" fontId="5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4" fontId="8" fillId="34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1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36" borderId="10" xfId="0" applyNumberFormat="1" applyFont="1" applyFill="1" applyBorder="1" applyAlignment="1">
      <alignment vertical="top" wrapText="1"/>
    </xf>
    <xf numFmtId="49" fontId="6" fillId="33" borderId="16" xfId="0" applyNumberFormat="1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6" fontId="10" fillId="0" borderId="12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66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166" fontId="6" fillId="0" borderId="16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4" fontId="0" fillId="34" borderId="0" xfId="0" applyNumberFormat="1" applyFill="1" applyAlignment="1">
      <alignment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6" xfId="0" applyNumberFormat="1" applyFont="1" applyFill="1" applyBorder="1" applyAlignment="1" applyProtection="1">
      <alignment horizontal="center" vertical="center"/>
      <protection locked="0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4" fontId="8" fillId="38" borderId="16" xfId="0" applyNumberFormat="1" applyFont="1" applyFill="1" applyBorder="1" applyAlignment="1" applyProtection="1">
      <alignment horizontal="center" vertical="center"/>
      <protection locked="0"/>
    </xf>
    <xf numFmtId="0" fontId="8" fillId="38" borderId="10" xfId="0" applyFont="1" applyFill="1" applyBorder="1" applyAlignment="1" applyProtection="1">
      <alignment horizontal="center" vertical="center" wrapText="1"/>
      <protection locked="0"/>
    </xf>
    <xf numFmtId="2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6" fillId="33" borderId="16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36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4" fontId="8" fillId="4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4" fontId="5" fillId="41" borderId="13" xfId="0" applyNumberFormat="1" applyFont="1" applyFill="1" applyBorder="1" applyAlignment="1">
      <alignment horizontal="center" vertical="center" wrapText="1"/>
    </xf>
    <xf numFmtId="4" fontId="8" fillId="41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horizontal="center" vertical="center" wrapText="1"/>
    </xf>
    <xf numFmtId="4" fontId="5" fillId="40" borderId="13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/>
    </xf>
    <xf numFmtId="4" fontId="17" fillId="41" borderId="10" xfId="0" applyNumberFormat="1" applyFont="1" applyFill="1" applyBorder="1" applyAlignment="1">
      <alignment horizontal="center" vertical="center"/>
    </xf>
    <xf numFmtId="4" fontId="17" fillId="4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5" fillId="0" borderId="20" xfId="0" applyNumberFormat="1" applyFont="1" applyBorder="1" applyAlignment="1">
      <alignment wrapText="1"/>
    </xf>
    <xf numFmtId="4" fontId="5" fillId="0" borderId="21" xfId="0" applyNumberFormat="1" applyFont="1" applyBorder="1" applyAlignment="1">
      <alignment wrapText="1"/>
    </xf>
    <xf numFmtId="4" fontId="5" fillId="0" borderId="22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20" xfId="0" applyNumberFormat="1" applyFont="1" applyBorder="1" applyAlignment="1">
      <alignment vertical="center" wrapText="1"/>
    </xf>
    <xf numFmtId="4" fontId="6" fillId="0" borderId="21" xfId="0" applyNumberFormat="1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vertical="center" wrapText="1"/>
    </xf>
    <xf numFmtId="4" fontId="5" fillId="0" borderId="22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right" vertical="center" wrapText="1"/>
      <protection locked="0"/>
    </xf>
    <xf numFmtId="4" fontId="6" fillId="0" borderId="20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horizontal="right" vertical="center" wrapText="1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4" xfId="0" applyFont="1" applyFill="1" applyBorder="1" applyAlignment="1" applyProtection="1">
      <alignment horizontal="right" vertical="center" wrapText="1"/>
      <protection locked="0"/>
    </xf>
    <xf numFmtId="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5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wrapText="1"/>
    </xf>
    <xf numFmtId="4" fontId="6" fillId="0" borderId="23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" fontId="6" fillId="0" borderId="26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7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6" fillId="0" borderId="27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0" fontId="0" fillId="43" borderId="0" xfId="0" applyFill="1" applyAlignment="1">
      <alignment/>
    </xf>
    <xf numFmtId="0" fontId="6" fillId="43" borderId="24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vertical="center"/>
    </xf>
    <xf numFmtId="0" fontId="3" fillId="43" borderId="10" xfId="0" applyFont="1" applyFill="1" applyBorder="1" applyAlignment="1">
      <alignment vertical="center"/>
    </xf>
    <xf numFmtId="0" fontId="3" fillId="43" borderId="10" xfId="0" applyFont="1" applyFill="1" applyBorder="1" applyAlignment="1">
      <alignment horizontal="left" vertical="top" wrapText="1"/>
    </xf>
    <xf numFmtId="0" fontId="18" fillId="43" borderId="12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vertical="center"/>
    </xf>
    <xf numFmtId="0" fontId="10" fillId="43" borderId="16" xfId="0" applyFont="1" applyFill="1" applyBorder="1" applyAlignment="1">
      <alignment vertical="top" wrapText="1"/>
    </xf>
    <xf numFmtId="0" fontId="6" fillId="43" borderId="10" xfId="0" applyFont="1" applyFill="1" applyBorder="1" applyAlignment="1">
      <alignment vertical="top" wrapText="1"/>
    </xf>
    <xf numFmtId="0" fontId="6" fillId="43" borderId="16" xfId="0" applyFont="1" applyFill="1" applyBorder="1" applyAlignment="1">
      <alignment vertical="top" wrapText="1"/>
    </xf>
    <xf numFmtId="0" fontId="6" fillId="43" borderId="10" xfId="0" applyFont="1" applyFill="1" applyBorder="1" applyAlignment="1">
      <alignment horizontal="left" vertical="top" wrapText="1"/>
    </xf>
    <xf numFmtId="49" fontId="6" fillId="43" borderId="10" xfId="0" applyNumberFormat="1" applyFont="1" applyFill="1" applyBorder="1" applyAlignment="1">
      <alignment horizontal="left" vertical="center" wrapText="1"/>
    </xf>
    <xf numFmtId="49" fontId="6" fillId="43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left" vertical="top" wrapText="1"/>
    </xf>
    <xf numFmtId="4" fontId="6" fillId="43" borderId="10" xfId="0" applyNumberFormat="1" applyFont="1" applyFill="1" applyBorder="1" applyAlignment="1">
      <alignment horizontal="left" vertical="top" wrapText="1"/>
    </xf>
    <xf numFmtId="0" fontId="6" fillId="43" borderId="10" xfId="0" applyFont="1" applyFill="1" applyBorder="1" applyAlignment="1">
      <alignment vertical="center"/>
    </xf>
    <xf numFmtId="0" fontId="6" fillId="43" borderId="10" xfId="0" applyFont="1" applyFill="1" applyBorder="1" applyAlignment="1">
      <alignment horizontal="left" vertical="center" wrapText="1"/>
    </xf>
    <xf numFmtId="0" fontId="6" fillId="43" borderId="10" xfId="0" applyFont="1" applyFill="1" applyBorder="1" applyAlignment="1">
      <alignment vertical="center" wrapText="1"/>
    </xf>
    <xf numFmtId="0" fontId="10" fillId="43" borderId="11" xfId="0" applyFont="1" applyFill="1" applyBorder="1" applyAlignment="1">
      <alignment vertical="top" wrapText="1"/>
    </xf>
    <xf numFmtId="0" fontId="6" fillId="43" borderId="13" xfId="0" applyFont="1" applyFill="1" applyBorder="1" applyAlignment="1">
      <alignment horizontal="left" vertical="top" wrapText="1"/>
    </xf>
    <xf numFmtId="0" fontId="6" fillId="43" borderId="16" xfId="0" applyFont="1" applyFill="1" applyBorder="1" applyAlignment="1">
      <alignment horizontal="left" vertical="top" wrapText="1"/>
    </xf>
    <xf numFmtId="0" fontId="54" fillId="43" borderId="0" xfId="0" applyFont="1" applyFill="1" applyAlignment="1">
      <alignment/>
    </xf>
    <xf numFmtId="0" fontId="54" fillId="43" borderId="0" xfId="0" applyFont="1" applyFill="1" applyAlignment="1">
      <alignment horizontal="left" vertical="top"/>
    </xf>
    <xf numFmtId="0" fontId="54" fillId="43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3" fillId="43" borderId="10" xfId="0" applyFont="1" applyFill="1" applyBorder="1" applyAlignment="1">
      <alignment vertical="center" wrapText="1"/>
    </xf>
    <xf numFmtId="0" fontId="54" fillId="43" borderId="10" xfId="0" applyFont="1" applyFill="1" applyBorder="1" applyAlignment="1">
      <alignment horizontal="center"/>
    </xf>
    <xf numFmtId="0" fontId="54" fillId="43" borderId="11" xfId="0" applyFont="1" applyFill="1" applyBorder="1" applyAlignment="1">
      <alignment horizontal="center"/>
    </xf>
    <xf numFmtId="0" fontId="10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10" fillId="43" borderId="17" xfId="0" applyFont="1" applyFill="1" applyBorder="1" applyAlignment="1">
      <alignment horizontal="center" wrapText="1"/>
    </xf>
    <xf numFmtId="0" fontId="10" fillId="43" borderId="16" xfId="0" applyFont="1" applyFill="1" applyBorder="1" applyAlignment="1">
      <alignment horizontal="center" wrapText="1"/>
    </xf>
    <xf numFmtId="0" fontId="54" fillId="43" borderId="17" xfId="0" applyFont="1" applyFill="1" applyBorder="1" applyAlignment="1">
      <alignment horizontal="center" wrapText="1"/>
    </xf>
    <xf numFmtId="0" fontId="54" fillId="43" borderId="16" xfId="0" applyFont="1" applyFill="1" applyBorder="1" applyAlignment="1">
      <alignment horizontal="center" wrapText="1"/>
    </xf>
    <xf numFmtId="0" fontId="10" fillId="43" borderId="10" xfId="0" applyFont="1" applyFill="1" applyBorder="1" applyAlignment="1">
      <alignment horizontal="center" wrapText="1"/>
    </xf>
    <xf numFmtId="1" fontId="3" fillId="43" borderId="10" xfId="0" applyNumberFormat="1" applyFont="1" applyFill="1" applyBorder="1" applyAlignment="1">
      <alignment horizontal="center"/>
    </xf>
    <xf numFmtId="1" fontId="6" fillId="43" borderId="17" xfId="0" applyNumberFormat="1" applyFont="1" applyFill="1" applyBorder="1" applyAlignment="1">
      <alignment horizontal="center" wrapText="1"/>
    </xf>
    <xf numFmtId="1" fontId="10" fillId="43" borderId="17" xfId="0" applyNumberFormat="1" applyFont="1" applyFill="1" applyBorder="1" applyAlignment="1">
      <alignment horizontal="center" wrapText="1"/>
    </xf>
    <xf numFmtId="1" fontId="3" fillId="43" borderId="10" xfId="0" applyNumberFormat="1" applyFont="1" applyFill="1" applyBorder="1" applyAlignment="1">
      <alignment horizontal="center" wrapText="1"/>
    </xf>
    <xf numFmtId="0" fontId="3" fillId="43" borderId="10" xfId="0" applyFont="1" applyFill="1" applyBorder="1" applyAlignment="1">
      <alignment horizontal="center" wrapText="1"/>
    </xf>
    <xf numFmtId="1" fontId="19" fillId="43" borderId="10" xfId="0" applyNumberFormat="1" applyFont="1" applyFill="1" applyBorder="1" applyAlignment="1">
      <alignment horizontal="center" wrapText="1"/>
    </xf>
    <xf numFmtId="0" fontId="10" fillId="43" borderId="17" xfId="0" applyFont="1" applyFill="1" applyBorder="1" applyAlignment="1">
      <alignment horizontal="left" vertical="center" wrapText="1"/>
    </xf>
    <xf numFmtId="1" fontId="54" fillId="43" borderId="0" xfId="0" applyNumberFormat="1" applyFont="1" applyFill="1" applyAlignment="1">
      <alignment/>
    </xf>
    <xf numFmtId="0" fontId="6" fillId="43" borderId="16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3" fillId="43" borderId="34" xfId="0" applyFont="1" applyFill="1" applyBorder="1" applyAlignment="1">
      <alignment vertical="center" wrapText="1"/>
    </xf>
    <xf numFmtId="0" fontId="3" fillId="43" borderId="3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43" borderId="16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5" fillId="43" borderId="0" xfId="0" applyFont="1" applyFill="1" applyAlignment="1">
      <alignment/>
    </xf>
    <xf numFmtId="0" fontId="55" fillId="43" borderId="0" xfId="0" applyFont="1" applyFill="1" applyBorder="1" applyAlignment="1">
      <alignment/>
    </xf>
    <xf numFmtId="0" fontId="6" fillId="43" borderId="11" xfId="0" applyFont="1" applyFill="1" applyBorder="1" applyAlignment="1">
      <alignment horizontal="center" vertical="center" wrapText="1"/>
    </xf>
    <xf numFmtId="0" fontId="55" fillId="43" borderId="0" xfId="0" applyFont="1" applyFill="1" applyAlignment="1">
      <alignment horizontal="center"/>
    </xf>
    <xf numFmtId="0" fontId="3" fillId="43" borderId="23" xfId="0" applyFont="1" applyFill="1" applyBorder="1" applyAlignment="1">
      <alignment vertical="center"/>
    </xf>
    <xf numFmtId="0" fontId="3" fillId="43" borderId="14" xfId="0" applyFont="1" applyFill="1" applyBorder="1" applyAlignment="1">
      <alignment vertical="center"/>
    </xf>
    <xf numFmtId="3" fontId="3" fillId="43" borderId="10" xfId="0" applyNumberFormat="1" applyFont="1" applyFill="1" applyBorder="1" applyAlignment="1">
      <alignment horizontal="center"/>
    </xf>
    <xf numFmtId="3" fontId="3" fillId="43" borderId="10" xfId="0" applyNumberFormat="1" applyFont="1" applyFill="1" applyBorder="1" applyAlignment="1">
      <alignment horizontal="center" wrapText="1"/>
    </xf>
    <xf numFmtId="0" fontId="10" fillId="43" borderId="17" xfId="0" applyFont="1" applyFill="1" applyBorder="1" applyAlignment="1">
      <alignment vertical="top" wrapText="1"/>
    </xf>
    <xf numFmtId="3" fontId="6" fillId="43" borderId="10" xfId="0" applyNumberFormat="1" applyFont="1" applyFill="1" applyBorder="1" applyAlignment="1">
      <alignment horizontal="center"/>
    </xf>
    <xf numFmtId="3" fontId="10" fillId="43" borderId="10" xfId="0" applyNumberFormat="1" applyFont="1" applyFill="1" applyBorder="1" applyAlignment="1">
      <alignment horizontal="center" wrapText="1"/>
    </xf>
    <xf numFmtId="3" fontId="6" fillId="43" borderId="10" xfId="0" applyNumberFormat="1" applyFont="1" applyFill="1" applyBorder="1" applyAlignment="1">
      <alignment horizontal="center" wrapText="1"/>
    </xf>
    <xf numFmtId="3" fontId="10" fillId="43" borderId="17" xfId="0" applyNumberFormat="1" applyFont="1" applyFill="1" applyBorder="1" applyAlignment="1">
      <alignment horizontal="center" wrapText="1"/>
    </xf>
    <xf numFmtId="3" fontId="6" fillId="43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wrapText="1"/>
    </xf>
    <xf numFmtId="0" fontId="3" fillId="43" borderId="36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3" fontId="19" fillId="43" borderId="10" xfId="0" applyNumberFormat="1" applyFont="1" applyFill="1" applyBorder="1" applyAlignment="1">
      <alignment horizontal="center" wrapText="1"/>
    </xf>
    <xf numFmtId="0" fontId="56" fillId="43" borderId="0" xfId="0" applyFont="1" applyFill="1" applyAlignment="1">
      <alignment/>
    </xf>
    <xf numFmtId="3" fontId="10" fillId="43" borderId="11" xfId="0" applyNumberFormat="1" applyFont="1" applyFill="1" applyBorder="1" applyAlignment="1">
      <alignment horizontal="center" wrapText="1"/>
    </xf>
    <xf numFmtId="0" fontId="10" fillId="43" borderId="10" xfId="0" applyFont="1" applyFill="1" applyBorder="1" applyAlignment="1">
      <alignment vertical="top" wrapText="1"/>
    </xf>
    <xf numFmtId="0" fontId="6" fillId="43" borderId="0" xfId="0" applyFont="1" applyFill="1" applyAlignment="1">
      <alignment horizontal="left" vertical="center" wrapText="1"/>
    </xf>
    <xf numFmtId="0" fontId="6" fillId="43" borderId="17" xfId="0" applyFont="1" applyFill="1" applyBorder="1" applyAlignment="1">
      <alignment horizontal="left" vertical="center" wrapText="1"/>
    </xf>
    <xf numFmtId="0" fontId="3" fillId="43" borderId="14" xfId="0" applyFont="1" applyFill="1" applyBorder="1" applyAlignment="1">
      <alignment horizontal="left" vertical="top" wrapText="1"/>
    </xf>
    <xf numFmtId="3" fontId="55" fillId="43" borderId="10" xfId="0" applyNumberFormat="1" applyFont="1" applyFill="1" applyBorder="1" applyAlignment="1">
      <alignment horizontal="center"/>
    </xf>
    <xf numFmtId="3" fontId="10" fillId="43" borderId="25" xfId="0" applyNumberFormat="1" applyFont="1" applyFill="1" applyBorder="1" applyAlignment="1">
      <alignment horizontal="center" wrapText="1"/>
    </xf>
    <xf numFmtId="3" fontId="6" fillId="43" borderId="12" xfId="0" applyNumberFormat="1" applyFont="1" applyFill="1" applyBorder="1" applyAlignment="1">
      <alignment horizontal="center" wrapText="1"/>
    </xf>
    <xf numFmtId="0" fontId="57" fillId="43" borderId="10" xfId="0" applyFont="1" applyFill="1" applyBorder="1" applyAlignment="1">
      <alignment/>
    </xf>
    <xf numFmtId="3" fontId="57" fillId="43" borderId="10" xfId="0" applyNumberFormat="1" applyFont="1" applyFill="1" applyBorder="1" applyAlignment="1">
      <alignment horizontal="center"/>
    </xf>
    <xf numFmtId="0" fontId="55" fillId="43" borderId="25" xfId="0" applyFont="1" applyFill="1" applyBorder="1" applyAlignment="1">
      <alignment/>
    </xf>
    <xf numFmtId="0" fontId="55" fillId="43" borderId="10" xfId="0" applyFont="1" applyFill="1" applyBorder="1" applyAlignment="1">
      <alignment/>
    </xf>
    <xf numFmtId="3" fontId="55" fillId="43" borderId="0" xfId="0" applyNumberFormat="1" applyFont="1" applyFill="1" applyAlignment="1">
      <alignment/>
    </xf>
    <xf numFmtId="0" fontId="55" fillId="43" borderId="0" xfId="0" applyFont="1" applyFill="1" applyAlignment="1">
      <alignment horizontal="left" vertical="top"/>
    </xf>
    <xf numFmtId="0" fontId="19" fillId="43" borderId="10" xfId="0" applyFont="1" applyFill="1" applyBorder="1" applyAlignment="1">
      <alignment horizontal="center"/>
    </xf>
    <xf numFmtId="1" fontId="3" fillId="43" borderId="17" xfId="0" applyNumberFormat="1" applyFont="1" applyFill="1" applyBorder="1" applyAlignment="1">
      <alignment horizontal="center" wrapText="1"/>
    </xf>
    <xf numFmtId="0" fontId="3" fillId="43" borderId="17" xfId="0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40" borderId="16" xfId="0" applyNumberFormat="1" applyFont="1" applyFill="1" applyBorder="1" applyAlignment="1">
      <alignment horizontal="center" vertical="center" wrapText="1"/>
    </xf>
    <xf numFmtId="4" fontId="6" fillId="40" borderId="13" xfId="0" applyNumberFormat="1" applyFont="1" applyFill="1" applyBorder="1" applyAlignment="1">
      <alignment horizontal="center" vertical="center" wrapText="1"/>
    </xf>
    <xf numFmtId="4" fontId="6" fillId="40" borderId="12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41" borderId="16" xfId="0" applyNumberFormat="1" applyFont="1" applyFill="1" applyBorder="1" applyAlignment="1">
      <alignment horizontal="center" vertical="center" wrapText="1"/>
    </xf>
    <xf numFmtId="4" fontId="6" fillId="41" borderId="13" xfId="0" applyNumberFormat="1" applyFont="1" applyFill="1" applyBorder="1" applyAlignment="1">
      <alignment horizontal="center" vertical="center" wrapText="1"/>
    </xf>
    <xf numFmtId="4" fontId="6" fillId="41" borderId="12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16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43" borderId="35" xfId="0" applyFont="1" applyFill="1" applyBorder="1" applyAlignment="1">
      <alignment horizontal="right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>
      <alignment horizontal="center" vertical="center" wrapText="1"/>
    </xf>
    <xf numFmtId="0" fontId="3" fillId="43" borderId="15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left" vertical="center" wrapText="1"/>
    </xf>
    <xf numFmtId="0" fontId="9" fillId="43" borderId="14" xfId="0" applyFont="1" applyFill="1" applyBorder="1" applyAlignment="1">
      <alignment horizontal="left" vertical="center" wrapText="1"/>
    </xf>
    <xf numFmtId="0" fontId="9" fillId="43" borderId="15" xfId="0" applyFont="1" applyFill="1" applyBorder="1" applyAlignment="1">
      <alignment horizontal="left" vertical="center" wrapText="1"/>
    </xf>
    <xf numFmtId="0" fontId="6" fillId="43" borderId="16" xfId="0" applyFont="1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43" borderId="17" xfId="0" applyFont="1" applyFill="1" applyBorder="1" applyAlignment="1">
      <alignment horizontal="center" vertical="center" wrapText="1"/>
    </xf>
    <xf numFmtId="0" fontId="6" fillId="43" borderId="37" xfId="0" applyFont="1" applyFill="1" applyBorder="1" applyAlignment="1">
      <alignment horizontal="center" vertical="center" wrapText="1"/>
    </xf>
    <xf numFmtId="0" fontId="6" fillId="43" borderId="25" xfId="0" applyFont="1" applyFill="1" applyBorder="1" applyAlignment="1">
      <alignment horizontal="center" vertical="center" wrapText="1"/>
    </xf>
    <xf numFmtId="0" fontId="6" fillId="43" borderId="41" xfId="0" applyFont="1" applyFill="1" applyBorder="1" applyAlignment="1">
      <alignment horizontal="center" vertical="center" wrapText="1"/>
    </xf>
    <xf numFmtId="0" fontId="6" fillId="43" borderId="34" xfId="0" applyFont="1" applyFill="1" applyBorder="1" applyAlignment="1">
      <alignment horizontal="center" vertical="center" wrapText="1"/>
    </xf>
    <xf numFmtId="0" fontId="6" fillId="43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horizontal="center" vertical="center" wrapText="1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15" xfId="0" applyFont="1" applyFill="1" applyBorder="1" applyAlignment="1">
      <alignment horizontal="center" vertical="center" wrapText="1"/>
    </xf>
    <xf numFmtId="0" fontId="54" fillId="43" borderId="35" xfId="0" applyFont="1" applyFill="1" applyBorder="1" applyAlignment="1">
      <alignment horizontal="right"/>
    </xf>
    <xf numFmtId="0" fontId="6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18" fillId="43" borderId="17" xfId="0" applyFont="1" applyFill="1" applyBorder="1" applyAlignment="1">
      <alignment horizontal="center" vertical="center" wrapText="1"/>
    </xf>
    <xf numFmtId="0" fontId="18" fillId="43" borderId="37" xfId="0" applyFont="1" applyFill="1" applyBorder="1" applyAlignment="1">
      <alignment horizontal="center" vertical="center" wrapText="1"/>
    </xf>
    <xf numFmtId="0" fontId="18" fillId="43" borderId="34" xfId="0" applyFont="1" applyFill="1" applyBorder="1" applyAlignment="1">
      <alignment horizontal="center" vertical="center" wrapText="1"/>
    </xf>
    <xf numFmtId="0" fontId="18" fillId="43" borderId="18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18" fillId="43" borderId="14" xfId="0" applyFont="1" applyFill="1" applyBorder="1" applyAlignment="1">
      <alignment horizontal="center" vertical="center" wrapText="1"/>
    </xf>
    <xf numFmtId="0" fontId="18" fillId="4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86"/>
  <sheetViews>
    <sheetView view="pageBreakPreview" zoomScale="80" zoomScaleNormal="75" zoomScaleSheetLayoutView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" sqref="D6:H7"/>
    </sheetView>
  </sheetViews>
  <sheetFormatPr defaultColWidth="9.140625" defaultRowHeight="15"/>
  <cols>
    <col min="1" max="1" width="9.140625" style="1" customWidth="1"/>
    <col min="2" max="2" width="7.421875" style="1" customWidth="1"/>
    <col min="3" max="3" width="42.8515625" style="1" customWidth="1"/>
    <col min="4" max="4" width="71.140625" style="188" customWidth="1"/>
    <col min="5" max="6" width="19.28125" style="1" customWidth="1"/>
    <col min="7" max="7" width="20.00390625" style="1" customWidth="1"/>
    <col min="8" max="8" width="21.28125" style="1" customWidth="1"/>
    <col min="9" max="9" width="17.421875" style="1" customWidth="1"/>
    <col min="10" max="10" width="17.57421875" style="1" customWidth="1"/>
    <col min="11" max="11" width="13.57421875" style="1" customWidth="1"/>
    <col min="12" max="18" width="14.421875" style="1" customWidth="1"/>
    <col min="19" max="19" width="18.7109375" style="1" hidden="1" customWidth="1"/>
    <col min="20" max="20" width="16.8515625" style="1" hidden="1" customWidth="1"/>
    <col min="21" max="21" width="17.28125" style="1" hidden="1" customWidth="1"/>
    <col min="22" max="22" width="20.57421875" style="1" customWidth="1"/>
    <col min="23" max="23" width="15.140625" style="1" customWidth="1"/>
    <col min="24" max="24" width="14.421875" style="1" customWidth="1"/>
    <col min="25" max="25" width="16.7109375" style="1" customWidth="1"/>
    <col min="26" max="26" width="9.140625" style="1" customWidth="1"/>
    <col min="27" max="28" width="20.57421875" style="7" customWidth="1"/>
    <col min="29" max="29" width="18.7109375" style="1" customWidth="1"/>
    <col min="30" max="30" width="24.57421875" style="1" customWidth="1"/>
    <col min="31" max="38" width="17.28125" style="1" customWidth="1"/>
    <col min="39" max="39" width="18.57421875" style="1" customWidth="1"/>
    <col min="40" max="40" width="17.7109375" style="1" customWidth="1"/>
    <col min="41" max="41" width="20.00390625" style="1" customWidth="1"/>
    <col min="42" max="42" width="16.57421875" style="1" customWidth="1"/>
    <col min="43" max="43" width="20.57421875" style="1" customWidth="1"/>
    <col min="44" max="44" width="16.57421875" style="1" customWidth="1"/>
    <col min="45" max="45" width="13.28125" style="1" customWidth="1"/>
    <col min="46" max="46" width="14.140625" style="1" customWidth="1"/>
    <col min="47" max="47" width="11.7109375" style="1" customWidth="1"/>
    <col min="48" max="16384" width="9.140625" style="1" customWidth="1"/>
  </cols>
  <sheetData>
    <row r="1" spans="7:31" ht="45">
      <c r="G1" s="2" t="s">
        <v>0</v>
      </c>
      <c r="H1" s="3">
        <v>32670</v>
      </c>
      <c r="I1" s="2" t="s">
        <v>1</v>
      </c>
      <c r="J1" s="3">
        <f>25114*1.302</f>
        <v>32698.428</v>
      </c>
      <c r="K1" s="2" t="s">
        <v>2</v>
      </c>
      <c r="L1" s="4">
        <f>22673*1.302</f>
        <v>29520.246000000003</v>
      </c>
      <c r="M1" s="3"/>
      <c r="N1" s="3"/>
      <c r="O1" s="3"/>
      <c r="P1" s="3"/>
      <c r="Q1" s="3"/>
      <c r="R1" s="3"/>
      <c r="S1" s="2" t="s">
        <v>221</v>
      </c>
      <c r="T1" s="3">
        <v>35453.3386</v>
      </c>
      <c r="U1" s="1" t="s">
        <v>4</v>
      </c>
      <c r="V1" s="3">
        <f>16735</f>
        <v>16735</v>
      </c>
      <c r="W1" s="3">
        <v>1.302</v>
      </c>
      <c r="AA1" s="5">
        <v>16735</v>
      </c>
      <c r="AB1" s="5">
        <v>16735</v>
      </c>
      <c r="AC1" s="2" t="s">
        <v>221</v>
      </c>
      <c r="AD1" s="3">
        <v>35453.3386</v>
      </c>
      <c r="AE1" s="1" t="s">
        <v>4</v>
      </c>
    </row>
    <row r="2" spans="7:38" ht="60">
      <c r="G2" s="2" t="s">
        <v>5</v>
      </c>
      <c r="H2" s="3">
        <v>22176.52</v>
      </c>
      <c r="I2" s="2" t="s">
        <v>6</v>
      </c>
      <c r="J2" s="3">
        <f>35000*1.302</f>
        <v>45570</v>
      </c>
      <c r="K2" s="2" t="s">
        <v>7</v>
      </c>
      <c r="L2" s="4">
        <f>33337.5*1.302</f>
        <v>43405.425</v>
      </c>
      <c r="M2" s="3"/>
      <c r="N2" s="3"/>
      <c r="O2" s="3"/>
      <c r="P2" s="3"/>
      <c r="Q2" s="3"/>
      <c r="R2" s="3"/>
      <c r="S2" s="2" t="s">
        <v>8</v>
      </c>
      <c r="T2" s="3">
        <v>22066</v>
      </c>
      <c r="U2" s="6" t="s">
        <v>220</v>
      </c>
      <c r="W2" s="1">
        <f>J2/H3</f>
        <v>2.0136986301369864</v>
      </c>
      <c r="AC2" s="2" t="s">
        <v>8</v>
      </c>
      <c r="AD2" s="3">
        <v>22066</v>
      </c>
      <c r="AE2" s="6" t="s">
        <v>9</v>
      </c>
      <c r="AF2" s="6"/>
      <c r="AG2" s="6"/>
      <c r="AH2" s="6"/>
      <c r="AI2" s="6"/>
      <c r="AJ2" s="6"/>
      <c r="AK2" s="6"/>
      <c r="AL2" s="6"/>
    </row>
    <row r="3" spans="7:38" ht="54.75" customHeight="1">
      <c r="G3" s="2" t="s">
        <v>10</v>
      </c>
      <c r="H3" s="3">
        <v>22630</v>
      </c>
      <c r="I3" s="2" t="s">
        <v>11</v>
      </c>
      <c r="J3" s="3">
        <v>39897.34664</v>
      </c>
      <c r="K3" s="2" t="s">
        <v>12</v>
      </c>
      <c r="L3" s="4">
        <f>57390*1.302</f>
        <v>74721.78</v>
      </c>
      <c r="M3" s="3"/>
      <c r="N3" s="3"/>
      <c r="O3" s="3"/>
      <c r="P3" s="3"/>
      <c r="Q3" s="3"/>
      <c r="R3" s="3"/>
      <c r="S3" s="2" t="s">
        <v>13</v>
      </c>
      <c r="T3" s="3">
        <v>22630</v>
      </c>
      <c r="U3" s="6" t="s">
        <v>14</v>
      </c>
      <c r="W3" s="1">
        <f>J2/J3</f>
        <v>1.1421812184951856</v>
      </c>
      <c r="AC3" s="2" t="s">
        <v>13</v>
      </c>
      <c r="AD3" s="3">
        <v>22630</v>
      </c>
      <c r="AE3" s="6" t="s">
        <v>14</v>
      </c>
      <c r="AF3" s="6"/>
      <c r="AG3" s="6"/>
      <c r="AH3" s="6"/>
      <c r="AI3" s="6"/>
      <c r="AJ3" s="6"/>
      <c r="AK3" s="6"/>
      <c r="AL3" s="6"/>
    </row>
    <row r="4" spans="21:31" ht="15">
      <c r="U4" s="1" t="s">
        <v>15</v>
      </c>
      <c r="W4" s="1">
        <f>J2/H2</f>
        <v>2.0548760581010908</v>
      </c>
      <c r="AE4" s="1" t="s">
        <v>15</v>
      </c>
    </row>
    <row r="5" spans="2:31" ht="36" customHeight="1">
      <c r="B5" s="403" t="s">
        <v>16</v>
      </c>
      <c r="C5" s="403"/>
      <c r="D5" s="403"/>
      <c r="E5" s="403"/>
      <c r="F5" s="403"/>
      <c r="G5" s="403"/>
      <c r="H5" s="403"/>
      <c r="I5" s="403"/>
      <c r="J5" s="8"/>
      <c r="K5" s="8"/>
      <c r="U5" s="1" t="s">
        <v>17</v>
      </c>
      <c r="W5" s="1">
        <f>J2/H1</f>
        <v>1.3948576675849402</v>
      </c>
      <c r="AE5" s="1" t="s">
        <v>17</v>
      </c>
    </row>
    <row r="6" spans="2:46" ht="36" customHeight="1">
      <c r="B6" s="390" t="s">
        <v>18</v>
      </c>
      <c r="C6" s="390" t="s">
        <v>19</v>
      </c>
      <c r="D6" s="404" t="s">
        <v>20</v>
      </c>
      <c r="E6" s="405"/>
      <c r="F6" s="405"/>
      <c r="G6" s="405"/>
      <c r="H6" s="406"/>
      <c r="I6" s="390" t="s">
        <v>243</v>
      </c>
      <c r="J6" s="390"/>
      <c r="K6" s="394"/>
      <c r="L6" s="397" t="s">
        <v>218</v>
      </c>
      <c r="M6" s="397"/>
      <c r="N6" s="397"/>
      <c r="O6" s="397"/>
      <c r="P6" s="397"/>
      <c r="Q6" s="397"/>
      <c r="R6" s="397"/>
      <c r="S6" s="390" t="s">
        <v>23</v>
      </c>
      <c r="T6" s="390"/>
      <c r="U6" s="390"/>
      <c r="V6" s="423" t="s">
        <v>24</v>
      </c>
      <c r="W6" s="390" t="s">
        <v>219</v>
      </c>
      <c r="X6" s="390"/>
      <c r="Y6" s="390"/>
      <c r="AA6" s="417" t="s">
        <v>25</v>
      </c>
      <c r="AB6" s="390" t="s">
        <v>227</v>
      </c>
      <c r="AC6" s="390"/>
      <c r="AD6" s="390"/>
      <c r="AE6" s="417" t="s">
        <v>26</v>
      </c>
      <c r="AF6" s="390" t="s">
        <v>227</v>
      </c>
      <c r="AG6" s="390"/>
      <c r="AH6" s="390"/>
      <c r="AI6" s="435" t="s">
        <v>224</v>
      </c>
      <c r="AJ6" s="432" t="s">
        <v>226</v>
      </c>
      <c r="AK6" s="432"/>
      <c r="AL6" s="432"/>
      <c r="AM6" s="410" t="s">
        <v>208</v>
      </c>
      <c r="AN6" s="410"/>
      <c r="AO6" s="410"/>
      <c r="AP6" s="410"/>
      <c r="AQ6" s="410"/>
      <c r="AR6" s="410"/>
      <c r="AS6" s="410"/>
      <c r="AT6" s="410"/>
    </row>
    <row r="7" spans="2:46" ht="36" customHeight="1">
      <c r="B7" s="390"/>
      <c r="C7" s="390"/>
      <c r="D7" s="407"/>
      <c r="E7" s="408"/>
      <c r="F7" s="408"/>
      <c r="G7" s="408"/>
      <c r="H7" s="409"/>
      <c r="I7" s="9"/>
      <c r="J7" s="9"/>
      <c r="K7" s="10"/>
      <c r="L7" s="11"/>
      <c r="M7" s="397" t="s">
        <v>27</v>
      </c>
      <c r="N7" s="397"/>
      <c r="O7" s="397"/>
      <c r="P7" s="397" t="s">
        <v>28</v>
      </c>
      <c r="Q7" s="397"/>
      <c r="R7" s="397"/>
      <c r="S7" s="394" t="s">
        <v>29</v>
      </c>
      <c r="T7" s="395"/>
      <c r="U7" s="396"/>
      <c r="V7" s="424"/>
      <c r="W7" s="394" t="s">
        <v>30</v>
      </c>
      <c r="X7" s="395"/>
      <c r="Y7" s="396"/>
      <c r="AA7" s="418"/>
      <c r="AB7" s="394" t="s">
        <v>225</v>
      </c>
      <c r="AC7" s="395"/>
      <c r="AD7" s="396"/>
      <c r="AE7" s="418"/>
      <c r="AF7" s="394" t="s">
        <v>222</v>
      </c>
      <c r="AG7" s="395"/>
      <c r="AH7" s="396"/>
      <c r="AI7" s="436"/>
      <c r="AJ7" s="420" t="s">
        <v>223</v>
      </c>
      <c r="AK7" s="421"/>
      <c r="AL7" s="422"/>
      <c r="AM7" s="410" t="s">
        <v>209</v>
      </c>
      <c r="AN7" s="410"/>
      <c r="AO7" s="410"/>
      <c r="AP7" s="410"/>
      <c r="AQ7" s="410"/>
      <c r="AR7" s="410"/>
      <c r="AS7" s="410"/>
      <c r="AT7" s="410"/>
    </row>
    <row r="8" spans="2:46" s="15" customFormat="1" ht="86.25" customHeight="1">
      <c r="B8" s="390"/>
      <c r="C8" s="390"/>
      <c r="D8" s="189"/>
      <c r="E8" s="13" t="s">
        <v>31</v>
      </c>
      <c r="F8" s="13" t="s">
        <v>32</v>
      </c>
      <c r="G8" s="12"/>
      <c r="H8" s="13" t="s">
        <v>33</v>
      </c>
      <c r="I8" s="9" t="s">
        <v>34</v>
      </c>
      <c r="J8" s="9" t="s">
        <v>35</v>
      </c>
      <c r="K8" s="10" t="s">
        <v>36</v>
      </c>
      <c r="L8" s="14" t="s">
        <v>37</v>
      </c>
      <c r="M8" s="14" t="s">
        <v>34</v>
      </c>
      <c r="N8" s="14" t="s">
        <v>38</v>
      </c>
      <c r="O8" s="14" t="s">
        <v>36</v>
      </c>
      <c r="P8" s="14" t="s">
        <v>34</v>
      </c>
      <c r="Q8" s="14" t="s">
        <v>38</v>
      </c>
      <c r="R8" s="14" t="s">
        <v>36</v>
      </c>
      <c r="S8" s="9" t="s">
        <v>34</v>
      </c>
      <c r="T8" s="9" t="s">
        <v>38</v>
      </c>
      <c r="U8" s="9" t="s">
        <v>36</v>
      </c>
      <c r="V8" s="425"/>
      <c r="W8" s="9" t="s">
        <v>34</v>
      </c>
      <c r="X8" s="9" t="s">
        <v>38</v>
      </c>
      <c r="Y8" s="9" t="s">
        <v>36</v>
      </c>
      <c r="AA8" s="419"/>
      <c r="AB8" s="9" t="s">
        <v>34</v>
      </c>
      <c r="AC8" s="9" t="s">
        <v>38</v>
      </c>
      <c r="AD8" s="9" t="s">
        <v>36</v>
      </c>
      <c r="AE8" s="419"/>
      <c r="AF8" s="9" t="s">
        <v>34</v>
      </c>
      <c r="AG8" s="9" t="s">
        <v>38</v>
      </c>
      <c r="AH8" s="9" t="s">
        <v>36</v>
      </c>
      <c r="AI8" s="437"/>
      <c r="AJ8" s="210" t="s">
        <v>34</v>
      </c>
      <c r="AK8" s="210" t="s">
        <v>38</v>
      </c>
      <c r="AL8" s="210" t="s">
        <v>36</v>
      </c>
      <c r="AM8" s="398" t="s">
        <v>210</v>
      </c>
      <c r="AN8" s="399"/>
      <c r="AO8" s="398" t="s">
        <v>211</v>
      </c>
      <c r="AP8" s="399"/>
      <c r="AQ8" s="398" t="s">
        <v>36</v>
      </c>
      <c r="AR8" s="399"/>
      <c r="AS8" s="398" t="s">
        <v>217</v>
      </c>
      <c r="AT8" s="399"/>
    </row>
    <row r="9" spans="2:46" ht="21" customHeight="1">
      <c r="B9" s="16" t="s">
        <v>39</v>
      </c>
      <c r="C9" s="17"/>
      <c r="D9" s="190"/>
      <c r="E9" s="18"/>
      <c r="F9" s="18"/>
      <c r="G9" s="18"/>
      <c r="H9" s="18"/>
      <c r="I9" s="19"/>
      <c r="J9" s="8"/>
      <c r="K9" s="8"/>
      <c r="L9" s="20"/>
      <c r="M9" s="20"/>
      <c r="N9" s="20"/>
      <c r="O9" s="20"/>
      <c r="P9" s="20"/>
      <c r="Q9" s="20"/>
      <c r="R9" s="20"/>
      <c r="S9" s="21">
        <f>S10+S16+S17+S18+S19+S20+S30</f>
        <v>17444.7</v>
      </c>
      <c r="T9" s="21">
        <f aca="true" t="shared" si="0" ref="T9:AL9">T10+T16+T17+T18+T19+T20+T30</f>
        <v>17444.7</v>
      </c>
      <c r="U9" s="21">
        <f t="shared" si="0"/>
        <v>20248.95</v>
      </c>
      <c r="V9" s="21"/>
      <c r="W9" s="21">
        <f t="shared" si="0"/>
        <v>215.96101369863013</v>
      </c>
      <c r="X9" s="21">
        <f t="shared" si="0"/>
        <v>215.96101369863013</v>
      </c>
      <c r="Y9" s="21">
        <f t="shared" si="0"/>
        <v>244.96101369863015</v>
      </c>
      <c r="Z9" s="21"/>
      <c r="AA9" s="21">
        <f t="shared" si="0"/>
        <v>795.7910136986301</v>
      </c>
      <c r="AB9" s="21">
        <f t="shared" si="0"/>
        <v>795.7910136986301</v>
      </c>
      <c r="AC9" s="21">
        <f t="shared" si="0"/>
        <v>795.7910136986301</v>
      </c>
      <c r="AD9" s="21">
        <f t="shared" si="0"/>
        <v>917.8510136986303</v>
      </c>
      <c r="AE9" s="21">
        <f>AE10+AE16+AE17+AE18+AE19+AE20+AE30</f>
        <v>175.07402301369862</v>
      </c>
      <c r="AF9" s="21">
        <f t="shared" si="0"/>
        <v>318.31640547945204</v>
      </c>
      <c r="AG9" s="21">
        <f t="shared" si="0"/>
        <v>358.10595616438354</v>
      </c>
      <c r="AH9" s="21">
        <f t="shared" si="0"/>
        <v>201.92722301369864</v>
      </c>
      <c r="AI9" s="207">
        <f t="shared" si="0"/>
        <v>970.8650367123288</v>
      </c>
      <c r="AJ9" s="211">
        <f t="shared" si="0"/>
        <v>1114.1074191780822</v>
      </c>
      <c r="AK9" s="211">
        <f t="shared" si="0"/>
        <v>1153.8969698630135</v>
      </c>
      <c r="AL9" s="211">
        <f t="shared" si="0"/>
        <v>1119.7782367123286</v>
      </c>
      <c r="AM9" s="156">
        <f aca="true" t="shared" si="1" ref="AM9:AT9">AM10+AM16+AM17+AM18+AM19+AM20+AM30</f>
        <v>3213</v>
      </c>
      <c r="AN9" s="156">
        <f t="shared" si="1"/>
        <v>524953.9746739726</v>
      </c>
      <c r="AO9" s="156">
        <f t="shared" si="1"/>
        <v>676</v>
      </c>
      <c r="AP9" s="156">
        <f t="shared" si="1"/>
        <v>1642752.9</v>
      </c>
      <c r="AQ9" s="156">
        <f t="shared" si="1"/>
        <v>648</v>
      </c>
      <c r="AR9" s="156">
        <f t="shared" si="1"/>
        <v>1806473.4000000001</v>
      </c>
      <c r="AS9" s="156">
        <f t="shared" si="1"/>
        <v>570</v>
      </c>
      <c r="AT9" s="156">
        <f t="shared" si="1"/>
        <v>2197386</v>
      </c>
    </row>
    <row r="10" spans="2:46" ht="31.5" customHeight="1">
      <c r="B10" s="387" t="s">
        <v>40</v>
      </c>
      <c r="C10" s="446" t="s">
        <v>41</v>
      </c>
      <c r="D10" s="439" t="s">
        <v>42</v>
      </c>
      <c r="E10" s="443">
        <v>2</v>
      </c>
      <c r="F10" s="443">
        <v>2</v>
      </c>
      <c r="G10" s="387" t="s">
        <v>43</v>
      </c>
      <c r="H10" s="387" t="s">
        <v>44</v>
      </c>
      <c r="I10" s="383">
        <v>30</v>
      </c>
      <c r="J10" s="383">
        <v>30</v>
      </c>
      <c r="K10" s="383">
        <v>30</v>
      </c>
      <c r="L10" s="386">
        <f>ROUND(E10/60*$L$1/147.7*F10,2)</f>
        <v>13.32</v>
      </c>
      <c r="M10" s="386">
        <v>1</v>
      </c>
      <c r="N10" s="386">
        <v>1</v>
      </c>
      <c r="O10" s="386">
        <v>1</v>
      </c>
      <c r="P10" s="386">
        <f>ROUND($L10*M10,2)</f>
        <v>13.32</v>
      </c>
      <c r="Q10" s="386">
        <f aca="true" t="shared" si="2" ref="Q10:R15">ROUND($L10*N10,2)</f>
        <v>13.32</v>
      </c>
      <c r="R10" s="386">
        <f t="shared" si="2"/>
        <v>13.32</v>
      </c>
      <c r="S10" s="387">
        <f>P10*I10</f>
        <v>399.6</v>
      </c>
      <c r="T10" s="387">
        <f>Q10*J10</f>
        <v>399.6</v>
      </c>
      <c r="U10" s="387">
        <f>R10*K10</f>
        <v>399.6</v>
      </c>
      <c r="V10" s="383">
        <f>197.47/365+0.21</f>
        <v>0.7510136986301369</v>
      </c>
      <c r="W10" s="383">
        <f>V$10*M10</f>
        <v>0.7510136986301369</v>
      </c>
      <c r="X10" s="383">
        <f>V$10*N10</f>
        <v>0.7510136986301369</v>
      </c>
      <c r="Y10" s="383">
        <f>V$10*O10</f>
        <v>0.7510136986301369</v>
      </c>
      <c r="Z10" s="1" t="s">
        <v>45</v>
      </c>
      <c r="AA10" s="391">
        <f>V10+L10</f>
        <v>14.071013698630138</v>
      </c>
      <c r="AB10" s="383">
        <f>W10+P10</f>
        <v>14.071013698630138</v>
      </c>
      <c r="AC10" s="383">
        <f>X10+Q10</f>
        <v>14.071013698630138</v>
      </c>
      <c r="AD10" s="383">
        <f>Y10+R10</f>
        <v>14.071013698630138</v>
      </c>
      <c r="AE10" s="391">
        <f>AA10*0.22</f>
        <v>3.0956230136986305</v>
      </c>
      <c r="AF10" s="383">
        <f>AB10*0.4</f>
        <v>5.628405479452056</v>
      </c>
      <c r="AG10" s="383">
        <f>AC10*0.45</f>
        <v>6.331956164383562</v>
      </c>
      <c r="AH10" s="383">
        <f>AD10*0.22</f>
        <v>3.0956230136986305</v>
      </c>
      <c r="AI10" s="429">
        <f>AE10+AA10</f>
        <v>17.166636712328767</v>
      </c>
      <c r="AJ10" s="414">
        <f>AF10+AB10</f>
        <v>19.699419178082195</v>
      </c>
      <c r="AK10" s="414">
        <f>AG10+AC10</f>
        <v>20.4029698630137</v>
      </c>
      <c r="AL10" s="414">
        <f>AH10+AD10</f>
        <v>17.166636712328767</v>
      </c>
      <c r="AM10" s="400">
        <v>567</v>
      </c>
      <c r="AN10" s="411">
        <f>AM10*AJ10</f>
        <v>11169.570673972605</v>
      </c>
      <c r="AO10" s="400">
        <v>115</v>
      </c>
      <c r="AP10" s="411">
        <f>AO10*$S10</f>
        <v>45954</v>
      </c>
      <c r="AQ10" s="400">
        <v>127</v>
      </c>
      <c r="AR10" s="411">
        <f>AQ10*$S10</f>
        <v>50749.200000000004</v>
      </c>
      <c r="AS10" s="400">
        <v>120</v>
      </c>
      <c r="AT10" s="411">
        <f>AS10*$U10</f>
        <v>47952</v>
      </c>
    </row>
    <row r="11" spans="2:46" ht="53.25" customHeight="1">
      <c r="B11" s="388"/>
      <c r="C11" s="447"/>
      <c r="D11" s="441"/>
      <c r="E11" s="444"/>
      <c r="F11" s="444"/>
      <c r="G11" s="388"/>
      <c r="H11" s="388"/>
      <c r="I11" s="384"/>
      <c r="J11" s="384"/>
      <c r="K11" s="384"/>
      <c r="L11" s="386"/>
      <c r="M11" s="386"/>
      <c r="N11" s="386"/>
      <c r="O11" s="386"/>
      <c r="P11" s="386">
        <f aca="true" t="shared" si="3" ref="P11:R26">ROUND($L11*M11,2)</f>
        <v>0</v>
      </c>
      <c r="Q11" s="386">
        <f t="shared" si="2"/>
        <v>0</v>
      </c>
      <c r="R11" s="386">
        <f t="shared" si="2"/>
        <v>0</v>
      </c>
      <c r="S11" s="388"/>
      <c r="T11" s="388"/>
      <c r="U11" s="388"/>
      <c r="V11" s="384"/>
      <c r="W11" s="384"/>
      <c r="X11" s="384"/>
      <c r="Y11" s="384"/>
      <c r="AA11" s="392"/>
      <c r="AB11" s="384"/>
      <c r="AC11" s="384"/>
      <c r="AD11" s="384"/>
      <c r="AE11" s="392"/>
      <c r="AF11" s="384"/>
      <c r="AG11" s="384"/>
      <c r="AH11" s="384"/>
      <c r="AI11" s="430"/>
      <c r="AJ11" s="415"/>
      <c r="AK11" s="415"/>
      <c r="AL11" s="415"/>
      <c r="AM11" s="401"/>
      <c r="AN11" s="412"/>
      <c r="AO11" s="401"/>
      <c r="AP11" s="412"/>
      <c r="AQ11" s="401"/>
      <c r="AR11" s="412"/>
      <c r="AS11" s="401"/>
      <c r="AT11" s="412"/>
    </row>
    <row r="12" spans="2:46" ht="31.5">
      <c r="B12" s="388"/>
      <c r="C12" s="447"/>
      <c r="D12" s="24" t="s">
        <v>46</v>
      </c>
      <c r="E12" s="444"/>
      <c r="F12" s="444"/>
      <c r="G12" s="388"/>
      <c r="H12" s="388"/>
      <c r="I12" s="384"/>
      <c r="J12" s="384"/>
      <c r="K12" s="384"/>
      <c r="L12" s="386"/>
      <c r="M12" s="386"/>
      <c r="N12" s="386"/>
      <c r="O12" s="386"/>
      <c r="P12" s="386">
        <f t="shared" si="3"/>
        <v>0</v>
      </c>
      <c r="Q12" s="386">
        <f t="shared" si="2"/>
        <v>0</v>
      </c>
      <c r="R12" s="386">
        <f t="shared" si="2"/>
        <v>0</v>
      </c>
      <c r="S12" s="388"/>
      <c r="T12" s="388"/>
      <c r="U12" s="388"/>
      <c r="V12" s="384"/>
      <c r="W12" s="384"/>
      <c r="X12" s="384"/>
      <c r="Y12" s="384"/>
      <c r="AA12" s="392"/>
      <c r="AB12" s="384"/>
      <c r="AC12" s="384"/>
      <c r="AD12" s="384"/>
      <c r="AE12" s="392"/>
      <c r="AF12" s="384"/>
      <c r="AG12" s="384"/>
      <c r="AH12" s="384"/>
      <c r="AI12" s="430"/>
      <c r="AJ12" s="415"/>
      <c r="AK12" s="415"/>
      <c r="AL12" s="415"/>
      <c r="AM12" s="401"/>
      <c r="AN12" s="412"/>
      <c r="AO12" s="401"/>
      <c r="AP12" s="412"/>
      <c r="AQ12" s="401"/>
      <c r="AR12" s="412"/>
      <c r="AS12" s="401"/>
      <c r="AT12" s="412"/>
    </row>
    <row r="13" spans="2:46" ht="26.25" customHeight="1">
      <c r="B13" s="388"/>
      <c r="C13" s="447"/>
      <c r="D13" s="24" t="s">
        <v>47</v>
      </c>
      <c r="E13" s="444"/>
      <c r="F13" s="444"/>
      <c r="G13" s="388"/>
      <c r="H13" s="388"/>
      <c r="I13" s="384"/>
      <c r="J13" s="384"/>
      <c r="K13" s="384"/>
      <c r="L13" s="386"/>
      <c r="M13" s="386"/>
      <c r="N13" s="386"/>
      <c r="O13" s="386"/>
      <c r="P13" s="386">
        <f t="shared" si="3"/>
        <v>0</v>
      </c>
      <c r="Q13" s="386">
        <f t="shared" si="2"/>
        <v>0</v>
      </c>
      <c r="R13" s="386">
        <f t="shared" si="2"/>
        <v>0</v>
      </c>
      <c r="S13" s="388"/>
      <c r="T13" s="388"/>
      <c r="U13" s="388"/>
      <c r="V13" s="384"/>
      <c r="W13" s="384"/>
      <c r="X13" s="384"/>
      <c r="Y13" s="384"/>
      <c r="AA13" s="392"/>
      <c r="AB13" s="384"/>
      <c r="AC13" s="384"/>
      <c r="AD13" s="384"/>
      <c r="AE13" s="392"/>
      <c r="AF13" s="384"/>
      <c r="AG13" s="384"/>
      <c r="AH13" s="384"/>
      <c r="AI13" s="430"/>
      <c r="AJ13" s="415"/>
      <c r="AK13" s="415"/>
      <c r="AL13" s="415"/>
      <c r="AM13" s="401"/>
      <c r="AN13" s="412"/>
      <c r="AO13" s="401"/>
      <c r="AP13" s="412"/>
      <c r="AQ13" s="401"/>
      <c r="AR13" s="412"/>
      <c r="AS13" s="401"/>
      <c r="AT13" s="412"/>
    </row>
    <row r="14" spans="2:46" ht="25.5" customHeight="1">
      <c r="B14" s="388"/>
      <c r="C14" s="447"/>
      <c r="D14" s="24" t="s">
        <v>48</v>
      </c>
      <c r="E14" s="444"/>
      <c r="F14" s="444"/>
      <c r="G14" s="388"/>
      <c r="H14" s="388"/>
      <c r="I14" s="384"/>
      <c r="J14" s="384"/>
      <c r="K14" s="384"/>
      <c r="L14" s="386"/>
      <c r="M14" s="386"/>
      <c r="N14" s="386"/>
      <c r="O14" s="386"/>
      <c r="P14" s="386">
        <f t="shared" si="3"/>
        <v>0</v>
      </c>
      <c r="Q14" s="386">
        <f t="shared" si="2"/>
        <v>0</v>
      </c>
      <c r="R14" s="386">
        <f t="shared" si="2"/>
        <v>0</v>
      </c>
      <c r="S14" s="388"/>
      <c r="T14" s="388"/>
      <c r="U14" s="388"/>
      <c r="V14" s="384"/>
      <c r="W14" s="384"/>
      <c r="X14" s="384"/>
      <c r="Y14" s="384"/>
      <c r="AA14" s="392"/>
      <c r="AB14" s="384"/>
      <c r="AC14" s="384"/>
      <c r="AD14" s="384"/>
      <c r="AE14" s="392"/>
      <c r="AF14" s="384"/>
      <c r="AG14" s="384"/>
      <c r="AH14" s="384"/>
      <c r="AI14" s="430"/>
      <c r="AJ14" s="415"/>
      <c r="AK14" s="415"/>
      <c r="AL14" s="415"/>
      <c r="AM14" s="401"/>
      <c r="AN14" s="412"/>
      <c r="AO14" s="401"/>
      <c r="AP14" s="412"/>
      <c r="AQ14" s="401"/>
      <c r="AR14" s="412"/>
      <c r="AS14" s="401"/>
      <c r="AT14" s="412"/>
    </row>
    <row r="15" spans="2:46" ht="52.5" customHeight="1">
      <c r="B15" s="389"/>
      <c r="C15" s="448"/>
      <c r="D15" s="25" t="s">
        <v>49</v>
      </c>
      <c r="E15" s="445"/>
      <c r="F15" s="445"/>
      <c r="G15" s="389"/>
      <c r="H15" s="389"/>
      <c r="I15" s="385"/>
      <c r="J15" s="385"/>
      <c r="K15" s="385"/>
      <c r="L15" s="386"/>
      <c r="M15" s="386"/>
      <c r="N15" s="386"/>
      <c r="O15" s="386"/>
      <c r="P15" s="386">
        <f t="shared" si="3"/>
        <v>0</v>
      </c>
      <c r="Q15" s="386">
        <f t="shared" si="2"/>
        <v>0</v>
      </c>
      <c r="R15" s="386">
        <f t="shared" si="2"/>
        <v>0</v>
      </c>
      <c r="S15" s="389"/>
      <c r="T15" s="389"/>
      <c r="U15" s="389"/>
      <c r="V15" s="385"/>
      <c r="W15" s="385"/>
      <c r="X15" s="385"/>
      <c r="Y15" s="385"/>
      <c r="AA15" s="393"/>
      <c r="AB15" s="385"/>
      <c r="AC15" s="385"/>
      <c r="AD15" s="385"/>
      <c r="AE15" s="393"/>
      <c r="AF15" s="385"/>
      <c r="AG15" s="385"/>
      <c r="AH15" s="385"/>
      <c r="AI15" s="431"/>
      <c r="AJ15" s="416"/>
      <c r="AK15" s="416"/>
      <c r="AL15" s="416"/>
      <c r="AM15" s="402"/>
      <c r="AN15" s="413"/>
      <c r="AO15" s="402"/>
      <c r="AP15" s="413"/>
      <c r="AQ15" s="402"/>
      <c r="AR15" s="413"/>
      <c r="AS15" s="402"/>
      <c r="AT15" s="413"/>
    </row>
    <row r="16" spans="2:46" ht="63" customHeight="1">
      <c r="B16" s="26" t="s">
        <v>50</v>
      </c>
      <c r="C16" s="27" t="s">
        <v>51</v>
      </c>
      <c r="D16" s="171" t="s">
        <v>52</v>
      </c>
      <c r="E16" s="29">
        <v>12</v>
      </c>
      <c r="F16" s="30">
        <v>4</v>
      </c>
      <c r="G16" s="30" t="s">
        <v>53</v>
      </c>
      <c r="H16" s="31" t="s">
        <v>54</v>
      </c>
      <c r="I16" s="32">
        <f>365/12</f>
        <v>30.416666666666668</v>
      </c>
      <c r="J16" s="32">
        <f>365/12</f>
        <v>30.416666666666668</v>
      </c>
      <c r="K16" s="32">
        <f>365/12</f>
        <v>30.416666666666668</v>
      </c>
      <c r="L16" s="33">
        <f>ROUND(E16/60*$T$2/147.7*F16,2)</f>
        <v>119.52</v>
      </c>
      <c r="M16" s="33">
        <v>1</v>
      </c>
      <c r="N16" s="33">
        <v>1</v>
      </c>
      <c r="O16" s="33">
        <v>1.25</v>
      </c>
      <c r="P16" s="33">
        <f t="shared" si="3"/>
        <v>119.52</v>
      </c>
      <c r="Q16" s="33">
        <f t="shared" si="3"/>
        <v>119.52</v>
      </c>
      <c r="R16" s="33">
        <f>ROUND($L16*O16,2)</f>
        <v>149.4</v>
      </c>
      <c r="S16" s="34">
        <f>I16*P16</f>
        <v>3635.4</v>
      </c>
      <c r="T16" s="34">
        <f>Q16*J16</f>
        <v>3635.4</v>
      </c>
      <c r="U16" s="34">
        <f>K16*R16</f>
        <v>4544.25</v>
      </c>
      <c r="V16" s="34">
        <f>45.87*F16</f>
        <v>183.48</v>
      </c>
      <c r="W16" s="34">
        <f>V$16*M16</f>
        <v>183.48</v>
      </c>
      <c r="X16" s="34">
        <f>V$16*N16</f>
        <v>183.48</v>
      </c>
      <c r="Y16" s="34">
        <v>197.21</v>
      </c>
      <c r="Z16" s="35" t="s">
        <v>55</v>
      </c>
      <c r="AA16" s="36">
        <f>V16+L16</f>
        <v>303</v>
      </c>
      <c r="AB16" s="34">
        <f aca="true" t="shared" si="4" ref="AB16:AD20">W16+P16</f>
        <v>303</v>
      </c>
      <c r="AC16" s="34">
        <f t="shared" si="4"/>
        <v>303</v>
      </c>
      <c r="AD16" s="34">
        <f t="shared" si="4"/>
        <v>346.61</v>
      </c>
      <c r="AE16" s="36">
        <f>AA16*0.22</f>
        <v>66.66</v>
      </c>
      <c r="AF16" s="34">
        <f>AB16*0.4</f>
        <v>121.2</v>
      </c>
      <c r="AG16" s="34">
        <f>AC16*0.45</f>
        <v>136.35</v>
      </c>
      <c r="AH16" s="34">
        <f>AD16*0.22</f>
        <v>76.2542</v>
      </c>
      <c r="AI16" s="208">
        <f aca="true" t="shared" si="5" ref="AI16:AL17">AE16+AA16</f>
        <v>369.65999999999997</v>
      </c>
      <c r="AJ16" s="205">
        <f t="shared" si="5"/>
        <v>424.2</v>
      </c>
      <c r="AK16" s="205">
        <f t="shared" si="5"/>
        <v>439.35</v>
      </c>
      <c r="AL16" s="205">
        <f t="shared" si="5"/>
        <v>422.8642</v>
      </c>
      <c r="AM16" s="157">
        <v>567</v>
      </c>
      <c r="AN16" s="157">
        <f>AM16*AJ16</f>
        <v>240521.4</v>
      </c>
      <c r="AO16" s="157">
        <v>115</v>
      </c>
      <c r="AP16" s="157">
        <f>AO16*$S16</f>
        <v>418071</v>
      </c>
      <c r="AQ16" s="157">
        <v>127</v>
      </c>
      <c r="AR16" s="157">
        <f>AQ16*$S16</f>
        <v>461695.8</v>
      </c>
      <c r="AS16" s="157">
        <v>120</v>
      </c>
      <c r="AT16" s="157">
        <f>AS16*$U16</f>
        <v>545310</v>
      </c>
    </row>
    <row r="17" spans="2:46" ht="157.5" customHeight="1">
      <c r="B17" s="26" t="s">
        <v>56</v>
      </c>
      <c r="C17" s="26" t="s">
        <v>57</v>
      </c>
      <c r="D17" s="40" t="s">
        <v>58</v>
      </c>
      <c r="E17" s="31">
        <v>10</v>
      </c>
      <c r="F17" s="32">
        <f>4/30</f>
        <v>0.13333333333333333</v>
      </c>
      <c r="G17" s="31" t="s">
        <v>43</v>
      </c>
      <c r="H17" s="31" t="s">
        <v>59</v>
      </c>
      <c r="I17" s="31">
        <v>30</v>
      </c>
      <c r="J17" s="31">
        <v>30</v>
      </c>
      <c r="K17" s="38">
        <v>30</v>
      </c>
      <c r="L17" s="33">
        <f>ROUND(E17/60*$L$1/147.7*F17,2)</f>
        <v>4.44</v>
      </c>
      <c r="M17" s="33">
        <v>1</v>
      </c>
      <c r="N17" s="33">
        <v>1</v>
      </c>
      <c r="O17" s="33">
        <v>1.5</v>
      </c>
      <c r="P17" s="33">
        <f t="shared" si="3"/>
        <v>4.44</v>
      </c>
      <c r="Q17" s="33">
        <f t="shared" si="3"/>
        <v>4.44</v>
      </c>
      <c r="R17" s="33">
        <f>ROUND($L17*O17,2)</f>
        <v>6.66</v>
      </c>
      <c r="S17" s="34">
        <f>I17*P17</f>
        <v>133.20000000000002</v>
      </c>
      <c r="T17" s="34">
        <f>Q17*J17</f>
        <v>133.20000000000002</v>
      </c>
      <c r="U17" s="34">
        <f>K17*R17</f>
        <v>199.8</v>
      </c>
      <c r="V17" s="34">
        <f>900/30</f>
        <v>30</v>
      </c>
      <c r="W17" s="34">
        <f>V$17*M17</f>
        <v>30</v>
      </c>
      <c r="X17" s="34">
        <f>V$17*N17</f>
        <v>30</v>
      </c>
      <c r="Y17" s="34">
        <f>V$17*O17</f>
        <v>45</v>
      </c>
      <c r="Z17" s="39" t="s">
        <v>60</v>
      </c>
      <c r="AA17" s="36">
        <f>V17+L17</f>
        <v>34.44</v>
      </c>
      <c r="AB17" s="34">
        <f t="shared" si="4"/>
        <v>34.44</v>
      </c>
      <c r="AC17" s="34">
        <f t="shared" si="4"/>
        <v>34.44</v>
      </c>
      <c r="AD17" s="34">
        <f t="shared" si="4"/>
        <v>51.66</v>
      </c>
      <c r="AE17" s="36">
        <f aca="true" t="shared" si="6" ref="AE17:AE78">AA17*0.22</f>
        <v>7.5767999999999995</v>
      </c>
      <c r="AF17" s="34">
        <f>AB17*0.4</f>
        <v>13.776</v>
      </c>
      <c r="AG17" s="34">
        <f aca="true" t="shared" si="7" ref="AG17:AG78">AC17*0.45</f>
        <v>15.498</v>
      </c>
      <c r="AH17" s="34">
        <f>AD17*0.22</f>
        <v>11.3652</v>
      </c>
      <c r="AI17" s="208">
        <f t="shared" si="5"/>
        <v>42.016799999999996</v>
      </c>
      <c r="AJ17" s="205">
        <f t="shared" si="5"/>
        <v>48.215999999999994</v>
      </c>
      <c r="AK17" s="205">
        <f t="shared" si="5"/>
        <v>49.937999999999995</v>
      </c>
      <c r="AL17" s="205">
        <f t="shared" si="5"/>
        <v>63.0252</v>
      </c>
      <c r="AM17" s="157">
        <v>567</v>
      </c>
      <c r="AN17" s="157">
        <f>AM17*AJ17</f>
        <v>27338.471999999998</v>
      </c>
      <c r="AO17" s="157">
        <v>115</v>
      </c>
      <c r="AP17" s="157">
        <f>AO17*$S17</f>
        <v>15318.000000000002</v>
      </c>
      <c r="AQ17" s="157">
        <v>127</v>
      </c>
      <c r="AR17" s="157">
        <f>AQ17*$S17</f>
        <v>16916.4</v>
      </c>
      <c r="AS17" s="157">
        <v>120</v>
      </c>
      <c r="AT17" s="157">
        <f>AS17*$U17</f>
        <v>23976</v>
      </c>
    </row>
    <row r="18" spans="2:46" ht="105.75" customHeight="1">
      <c r="B18" s="37" t="s">
        <v>61</v>
      </c>
      <c r="C18" s="37" t="s">
        <v>62</v>
      </c>
      <c r="D18" s="40" t="s">
        <v>63</v>
      </c>
      <c r="E18" s="41">
        <v>15</v>
      </c>
      <c r="F18" s="41">
        <v>4</v>
      </c>
      <c r="G18" s="41" t="s">
        <v>43</v>
      </c>
      <c r="H18" s="41" t="s">
        <v>64</v>
      </c>
      <c r="I18" s="41">
        <v>30</v>
      </c>
      <c r="J18" s="41">
        <v>30</v>
      </c>
      <c r="K18" s="42">
        <v>30</v>
      </c>
      <c r="L18" s="33">
        <f>ROUND(E18/60*$L$1/147.7*F18,2)</f>
        <v>199.87</v>
      </c>
      <c r="M18" s="33">
        <v>1</v>
      </c>
      <c r="N18" s="33">
        <v>1</v>
      </c>
      <c r="O18" s="33">
        <v>1.25</v>
      </c>
      <c r="P18" s="33">
        <f t="shared" si="3"/>
        <v>199.87</v>
      </c>
      <c r="Q18" s="33">
        <f t="shared" si="3"/>
        <v>199.87</v>
      </c>
      <c r="R18" s="33">
        <f t="shared" si="3"/>
        <v>249.84</v>
      </c>
      <c r="S18" s="34">
        <f>I18*P18</f>
        <v>5996.1</v>
      </c>
      <c r="T18" s="34">
        <f>Q18*J18</f>
        <v>5996.1</v>
      </c>
      <c r="U18" s="34">
        <f>K18*R18</f>
        <v>7495.2</v>
      </c>
      <c r="V18" s="34"/>
      <c r="W18" s="47">
        <f>M18*V$18</f>
        <v>0</v>
      </c>
      <c r="X18" s="47">
        <f>N18*V$18</f>
        <v>0</v>
      </c>
      <c r="Y18" s="47">
        <f>O18*V$18</f>
        <v>0</v>
      </c>
      <c r="Z18" s="39" t="s">
        <v>65</v>
      </c>
      <c r="AA18" s="36">
        <f>V18+L18</f>
        <v>199.87</v>
      </c>
      <c r="AB18" s="34">
        <f t="shared" si="4"/>
        <v>199.87</v>
      </c>
      <c r="AC18" s="34">
        <f t="shared" si="4"/>
        <v>199.87</v>
      </c>
      <c r="AD18" s="34">
        <f t="shared" si="4"/>
        <v>249.84</v>
      </c>
      <c r="AE18" s="36">
        <f t="shared" si="6"/>
        <v>43.9714</v>
      </c>
      <c r="AF18" s="34">
        <f>AB18*0.4</f>
        <v>79.94800000000001</v>
      </c>
      <c r="AG18" s="34">
        <f t="shared" si="7"/>
        <v>89.9415</v>
      </c>
      <c r="AH18" s="34">
        <f aca="true" t="shared" si="8" ref="AH18:AH78">AD18*0.22</f>
        <v>54.964800000000004</v>
      </c>
      <c r="AI18" s="208">
        <f aca="true" t="shared" si="9" ref="AI18:AI73">AE18+AA18</f>
        <v>243.84140000000002</v>
      </c>
      <c r="AJ18" s="205">
        <f aca="true" t="shared" si="10" ref="AJ18:AJ78">AF18+AB18</f>
        <v>279.818</v>
      </c>
      <c r="AK18" s="205">
        <f aca="true" t="shared" si="11" ref="AK18:AK78">AG18+AC18</f>
        <v>289.8115</v>
      </c>
      <c r="AL18" s="205">
        <f aca="true" t="shared" si="12" ref="AL18:AL78">AH18+AD18</f>
        <v>304.8048</v>
      </c>
      <c r="AM18" s="157">
        <v>189</v>
      </c>
      <c r="AN18" s="157">
        <f>AM18*AJ18</f>
        <v>52885.602</v>
      </c>
      <c r="AO18" s="157">
        <v>55</v>
      </c>
      <c r="AP18" s="157">
        <f aca="true" t="shared" si="13" ref="AP18:AR20">AO18*$S18</f>
        <v>329785.5</v>
      </c>
      <c r="AQ18" s="157">
        <v>60</v>
      </c>
      <c r="AR18" s="157">
        <f t="shared" si="13"/>
        <v>359766</v>
      </c>
      <c r="AS18" s="157">
        <v>90</v>
      </c>
      <c r="AT18" s="157">
        <f>AS18*$U18</f>
        <v>674568</v>
      </c>
    </row>
    <row r="19" spans="2:46" ht="96" customHeight="1">
      <c r="B19" s="37" t="s">
        <v>66</v>
      </c>
      <c r="C19" s="43" t="s">
        <v>67</v>
      </c>
      <c r="D19" s="24" t="s">
        <v>68</v>
      </c>
      <c r="E19" s="31">
        <v>20</v>
      </c>
      <c r="F19" s="45">
        <f>2/365</f>
        <v>0.005479452054794521</v>
      </c>
      <c r="G19" s="31" t="s">
        <v>69</v>
      </c>
      <c r="H19" s="31" t="s">
        <v>13</v>
      </c>
      <c r="I19" s="45">
        <v>30</v>
      </c>
      <c r="J19" s="45">
        <v>30</v>
      </c>
      <c r="K19" s="46">
        <v>30</v>
      </c>
      <c r="L19" s="33">
        <f>ROUND(E19/60*$T$3/147.7*F19,2)</f>
        <v>0.28</v>
      </c>
      <c r="M19" s="33">
        <v>1</v>
      </c>
      <c r="N19" s="33">
        <v>1</v>
      </c>
      <c r="O19" s="33">
        <v>1</v>
      </c>
      <c r="P19" s="33">
        <f t="shared" si="3"/>
        <v>0.28</v>
      </c>
      <c r="Q19" s="33">
        <f t="shared" si="3"/>
        <v>0.28</v>
      </c>
      <c r="R19" s="33">
        <f t="shared" si="3"/>
        <v>0.28</v>
      </c>
      <c r="S19" s="47">
        <f>P19*I19</f>
        <v>8.4</v>
      </c>
      <c r="T19" s="47">
        <f>Q19*J19</f>
        <v>8.4</v>
      </c>
      <c r="U19" s="47">
        <f>R19*K19</f>
        <v>8.4</v>
      </c>
      <c r="V19" s="47">
        <v>0</v>
      </c>
      <c r="W19" s="47">
        <f>M19*V19</f>
        <v>0</v>
      </c>
      <c r="X19" s="47">
        <f>N19*V19</f>
        <v>0</v>
      </c>
      <c r="Y19" s="47">
        <f>O19*V19</f>
        <v>0</v>
      </c>
      <c r="AA19" s="36">
        <f>V19+L19</f>
        <v>0.28</v>
      </c>
      <c r="AB19" s="34">
        <f t="shared" si="4"/>
        <v>0.28</v>
      </c>
      <c r="AC19" s="34">
        <f t="shared" si="4"/>
        <v>0.28</v>
      </c>
      <c r="AD19" s="34">
        <f t="shared" si="4"/>
        <v>0.28</v>
      </c>
      <c r="AE19" s="36">
        <f t="shared" si="6"/>
        <v>0.06160000000000001</v>
      </c>
      <c r="AF19" s="34">
        <f>AB19*0.4</f>
        <v>0.11200000000000002</v>
      </c>
      <c r="AG19" s="34">
        <f t="shared" si="7"/>
        <v>0.12600000000000003</v>
      </c>
      <c r="AH19" s="34">
        <f t="shared" si="8"/>
        <v>0.06160000000000001</v>
      </c>
      <c r="AI19" s="208">
        <f t="shared" si="9"/>
        <v>0.3416</v>
      </c>
      <c r="AJ19" s="205">
        <f t="shared" si="10"/>
        <v>0.392</v>
      </c>
      <c r="AK19" s="205">
        <f t="shared" si="11"/>
        <v>0.406</v>
      </c>
      <c r="AL19" s="205">
        <f t="shared" si="12"/>
        <v>0.3416</v>
      </c>
      <c r="AM19" s="158">
        <v>567</v>
      </c>
      <c r="AN19" s="157">
        <f>AM19*AJ19</f>
        <v>222.264</v>
      </c>
      <c r="AO19" s="158">
        <v>111</v>
      </c>
      <c r="AP19" s="158">
        <f t="shared" si="13"/>
        <v>932.4000000000001</v>
      </c>
      <c r="AQ19" s="158">
        <v>77</v>
      </c>
      <c r="AR19" s="158">
        <f t="shared" si="13"/>
        <v>646.8000000000001</v>
      </c>
      <c r="AS19" s="158">
        <v>0</v>
      </c>
      <c r="AT19" s="158">
        <f>AS19*$U19</f>
        <v>0</v>
      </c>
    </row>
    <row r="20" spans="2:46" ht="72" customHeight="1">
      <c r="B20" s="387" t="s">
        <v>70</v>
      </c>
      <c r="C20" s="451" t="s">
        <v>71</v>
      </c>
      <c r="D20" s="25"/>
      <c r="E20" s="49">
        <f>SUM(E21:E29)</f>
        <v>80</v>
      </c>
      <c r="F20" s="49">
        <f>SUM(F21:F29)</f>
        <v>13.7</v>
      </c>
      <c r="G20" s="49"/>
      <c r="H20" s="50"/>
      <c r="I20" s="51"/>
      <c r="J20" s="51"/>
      <c r="K20" s="51"/>
      <c r="L20" s="36">
        <f>SUM(L21:L29)</f>
        <v>240.56</v>
      </c>
      <c r="M20" s="36">
        <v>1</v>
      </c>
      <c r="N20" s="36">
        <v>1</v>
      </c>
      <c r="O20" s="36">
        <v>1.11</v>
      </c>
      <c r="P20" s="36">
        <f aca="true" t="shared" si="14" ref="P20:X20">SUM(P21:P29)</f>
        <v>240.56</v>
      </c>
      <c r="Q20" s="36">
        <f t="shared" si="14"/>
        <v>240.56</v>
      </c>
      <c r="R20" s="36">
        <f t="shared" si="14"/>
        <v>251.55</v>
      </c>
      <c r="S20" s="47">
        <f t="shared" si="14"/>
        <v>7216.8</v>
      </c>
      <c r="T20" s="47">
        <f t="shared" si="14"/>
        <v>7216.8</v>
      </c>
      <c r="U20" s="47">
        <f t="shared" si="14"/>
        <v>7546.5</v>
      </c>
      <c r="V20" s="47">
        <f t="shared" si="14"/>
        <v>1.73</v>
      </c>
      <c r="W20" s="47">
        <f t="shared" si="14"/>
        <v>1.73</v>
      </c>
      <c r="X20" s="47">
        <f t="shared" si="14"/>
        <v>1.73</v>
      </c>
      <c r="Y20" s="47">
        <v>2</v>
      </c>
      <c r="Z20" s="39" t="s">
        <v>72</v>
      </c>
      <c r="AA20" s="36">
        <f>V20+L20</f>
        <v>242.29</v>
      </c>
      <c r="AB20" s="34">
        <f t="shared" si="4"/>
        <v>242.29</v>
      </c>
      <c r="AC20" s="34">
        <f t="shared" si="4"/>
        <v>242.29</v>
      </c>
      <c r="AD20" s="34">
        <f t="shared" si="4"/>
        <v>253.55</v>
      </c>
      <c r="AE20" s="36">
        <f t="shared" si="6"/>
        <v>53.303799999999995</v>
      </c>
      <c r="AF20" s="34">
        <f>AB20*0.4</f>
        <v>96.916</v>
      </c>
      <c r="AG20" s="34">
        <f t="shared" si="7"/>
        <v>109.0305</v>
      </c>
      <c r="AH20" s="34">
        <f t="shared" si="8"/>
        <v>55.781000000000006</v>
      </c>
      <c r="AI20" s="208">
        <f t="shared" si="9"/>
        <v>295.5938</v>
      </c>
      <c r="AJ20" s="205">
        <f t="shared" si="10"/>
        <v>339.206</v>
      </c>
      <c r="AK20" s="205">
        <f t="shared" si="11"/>
        <v>351.3205</v>
      </c>
      <c r="AL20" s="205">
        <f t="shared" si="12"/>
        <v>309.331</v>
      </c>
      <c r="AM20" s="158">
        <v>567</v>
      </c>
      <c r="AN20" s="157">
        <f>AM20*AJ20</f>
        <v>192329.802</v>
      </c>
      <c r="AO20" s="158">
        <v>115</v>
      </c>
      <c r="AP20" s="158">
        <f t="shared" si="13"/>
        <v>829932</v>
      </c>
      <c r="AQ20" s="158">
        <v>127</v>
      </c>
      <c r="AR20" s="158">
        <f t="shared" si="13"/>
        <v>916533.6</v>
      </c>
      <c r="AS20" s="158">
        <v>120</v>
      </c>
      <c r="AT20" s="158">
        <f>AS20*$U20</f>
        <v>905580</v>
      </c>
    </row>
    <row r="21" spans="2:46" ht="48" customHeight="1">
      <c r="B21" s="388"/>
      <c r="C21" s="452"/>
      <c r="D21" s="186" t="s">
        <v>73</v>
      </c>
      <c r="E21" s="53">
        <v>5</v>
      </c>
      <c r="F21" s="53">
        <v>3</v>
      </c>
      <c r="G21" s="53" t="s">
        <v>43</v>
      </c>
      <c r="H21" s="54" t="s">
        <v>74</v>
      </c>
      <c r="I21" s="55">
        <v>30</v>
      </c>
      <c r="J21" s="55">
        <v>30</v>
      </c>
      <c r="K21" s="56">
        <v>30</v>
      </c>
      <c r="L21" s="57">
        <f aca="true" t="shared" si="15" ref="L21:L28">ROUND(E21/60*$L$1/147.7*F21,2)</f>
        <v>49.97</v>
      </c>
      <c r="M21" s="57">
        <v>1</v>
      </c>
      <c r="N21" s="57">
        <v>1</v>
      </c>
      <c r="O21" s="57">
        <v>1</v>
      </c>
      <c r="P21" s="57">
        <f t="shared" si="3"/>
        <v>49.97</v>
      </c>
      <c r="Q21" s="57">
        <f t="shared" si="3"/>
        <v>49.97</v>
      </c>
      <c r="R21" s="57">
        <f t="shared" si="3"/>
        <v>49.97</v>
      </c>
      <c r="S21" s="57">
        <f aca="true" t="shared" si="16" ref="S21:U30">P21*I21</f>
        <v>1499.1</v>
      </c>
      <c r="T21" s="57">
        <f t="shared" si="16"/>
        <v>1499.1</v>
      </c>
      <c r="U21" s="57">
        <f t="shared" si="16"/>
        <v>1499.1</v>
      </c>
      <c r="V21" s="57"/>
      <c r="W21" s="57">
        <f aca="true" t="shared" si="17" ref="W21:W29">V21*M21</f>
        <v>0</v>
      </c>
      <c r="X21" s="57">
        <f aca="true" t="shared" si="18" ref="X21:X29">V21*N21</f>
        <v>0</v>
      </c>
      <c r="Y21" s="57">
        <f aca="true" t="shared" si="19" ref="Y21:Y29">V21*O21</f>
        <v>0</v>
      </c>
      <c r="AA21" s="36"/>
      <c r="AB21" s="57"/>
      <c r="AC21" s="57"/>
      <c r="AD21" s="57"/>
      <c r="AE21" s="36">
        <f t="shared" si="6"/>
        <v>0</v>
      </c>
      <c r="AF21" s="34">
        <f aca="true" t="shared" si="20" ref="AF21:AF29">AB21*0.45</f>
        <v>0</v>
      </c>
      <c r="AG21" s="34">
        <f t="shared" si="7"/>
        <v>0</v>
      </c>
      <c r="AH21" s="34">
        <f t="shared" si="8"/>
        <v>0</v>
      </c>
      <c r="AI21" s="208">
        <f t="shared" si="9"/>
        <v>0</v>
      </c>
      <c r="AJ21" s="57">
        <f t="shared" si="10"/>
        <v>0</v>
      </c>
      <c r="AK21" s="57">
        <f t="shared" si="11"/>
        <v>0</v>
      </c>
      <c r="AL21" s="57">
        <f t="shared" si="12"/>
        <v>0</v>
      </c>
      <c r="AM21" s="159"/>
      <c r="AN21" s="159"/>
      <c r="AO21" s="159"/>
      <c r="AP21" s="159"/>
      <c r="AQ21" s="159"/>
      <c r="AR21" s="159"/>
      <c r="AS21" s="159"/>
      <c r="AT21" s="159"/>
    </row>
    <row r="22" spans="2:46" ht="31.5">
      <c r="B22" s="388"/>
      <c r="C22" s="452"/>
      <c r="D22" s="186" t="s">
        <v>75</v>
      </c>
      <c r="E22" s="53">
        <v>5</v>
      </c>
      <c r="F22" s="53">
        <v>2</v>
      </c>
      <c r="G22" s="53" t="s">
        <v>43</v>
      </c>
      <c r="H22" s="54" t="s">
        <v>64</v>
      </c>
      <c r="I22" s="55">
        <v>30</v>
      </c>
      <c r="J22" s="55">
        <v>30</v>
      </c>
      <c r="K22" s="55">
        <v>30</v>
      </c>
      <c r="L22" s="57">
        <f t="shared" si="15"/>
        <v>33.31</v>
      </c>
      <c r="M22" s="57">
        <v>1</v>
      </c>
      <c r="N22" s="57">
        <v>1</v>
      </c>
      <c r="O22" s="57">
        <v>1.25</v>
      </c>
      <c r="P22" s="57">
        <f t="shared" si="3"/>
        <v>33.31</v>
      </c>
      <c r="Q22" s="57">
        <f t="shared" si="3"/>
        <v>33.31</v>
      </c>
      <c r="R22" s="57">
        <f t="shared" si="3"/>
        <v>41.64</v>
      </c>
      <c r="S22" s="57">
        <f t="shared" si="16"/>
        <v>999.3000000000001</v>
      </c>
      <c r="T22" s="57">
        <f t="shared" si="16"/>
        <v>999.3000000000001</v>
      </c>
      <c r="U22" s="57">
        <f t="shared" si="16"/>
        <v>1249.2</v>
      </c>
      <c r="V22" s="57">
        <v>0.53</v>
      </c>
      <c r="W22" s="57">
        <f t="shared" si="17"/>
        <v>0.53</v>
      </c>
      <c r="X22" s="57">
        <f t="shared" si="18"/>
        <v>0.53</v>
      </c>
      <c r="Y22" s="57">
        <f>V22*O22</f>
        <v>0.6625000000000001</v>
      </c>
      <c r="Z22" s="39" t="s">
        <v>72</v>
      </c>
      <c r="AA22" s="36"/>
      <c r="AB22" s="57">
        <f>AA22*N22</f>
        <v>0</v>
      </c>
      <c r="AC22" s="57">
        <f>AA22*O22</f>
        <v>0</v>
      </c>
      <c r="AD22" s="57">
        <f>AA22*P22</f>
        <v>0</v>
      </c>
      <c r="AE22" s="36">
        <f t="shared" si="6"/>
        <v>0</v>
      </c>
      <c r="AF22" s="34">
        <f t="shared" si="20"/>
        <v>0</v>
      </c>
      <c r="AG22" s="34">
        <f t="shared" si="7"/>
        <v>0</v>
      </c>
      <c r="AH22" s="34">
        <f t="shared" si="8"/>
        <v>0</v>
      </c>
      <c r="AI22" s="208">
        <f t="shared" si="9"/>
        <v>0</v>
      </c>
      <c r="AJ22" s="57">
        <f t="shared" si="10"/>
        <v>0</v>
      </c>
      <c r="AK22" s="57">
        <f t="shared" si="11"/>
        <v>0</v>
      </c>
      <c r="AL22" s="57">
        <f t="shared" si="12"/>
        <v>0</v>
      </c>
      <c r="AM22" s="159"/>
      <c r="AN22" s="159"/>
      <c r="AO22" s="159"/>
      <c r="AP22" s="159"/>
      <c r="AQ22" s="159"/>
      <c r="AR22" s="159"/>
      <c r="AS22" s="159"/>
      <c r="AT22" s="159"/>
    </row>
    <row r="23" spans="2:46" ht="31.5">
      <c r="B23" s="388"/>
      <c r="C23" s="452"/>
      <c r="D23" s="135" t="s">
        <v>76</v>
      </c>
      <c r="E23" s="53">
        <v>20</v>
      </c>
      <c r="F23" s="58">
        <f>4/30</f>
        <v>0.13333333333333333</v>
      </c>
      <c r="G23" s="56" t="s">
        <v>43</v>
      </c>
      <c r="H23" s="54" t="s">
        <v>77</v>
      </c>
      <c r="I23" s="55">
        <v>30</v>
      </c>
      <c r="J23" s="55">
        <v>30</v>
      </c>
      <c r="K23" s="55">
        <v>30</v>
      </c>
      <c r="L23" s="57">
        <f t="shared" si="15"/>
        <v>8.88</v>
      </c>
      <c r="M23" s="57">
        <v>1</v>
      </c>
      <c r="N23" s="57">
        <v>1</v>
      </c>
      <c r="O23" s="57">
        <v>2</v>
      </c>
      <c r="P23" s="57">
        <f t="shared" si="3"/>
        <v>8.88</v>
      </c>
      <c r="Q23" s="57">
        <f t="shared" si="3"/>
        <v>8.88</v>
      </c>
      <c r="R23" s="57">
        <f t="shared" si="3"/>
        <v>17.76</v>
      </c>
      <c r="S23" s="57">
        <f t="shared" si="16"/>
        <v>266.40000000000003</v>
      </c>
      <c r="T23" s="57">
        <f t="shared" si="16"/>
        <v>266.40000000000003</v>
      </c>
      <c r="U23" s="57">
        <f t="shared" si="16"/>
        <v>532.8000000000001</v>
      </c>
      <c r="V23" s="57">
        <v>0.5</v>
      </c>
      <c r="W23" s="57">
        <f t="shared" si="17"/>
        <v>0.5</v>
      </c>
      <c r="X23" s="57">
        <f t="shared" si="18"/>
        <v>0.5</v>
      </c>
      <c r="Y23" s="57">
        <f>V23*O23</f>
        <v>1</v>
      </c>
      <c r="Z23" s="39" t="s">
        <v>78</v>
      </c>
      <c r="AA23" s="36"/>
      <c r="AB23" s="57">
        <f>AA23*N23</f>
        <v>0</v>
      </c>
      <c r="AC23" s="57">
        <f>AA23*O23</f>
        <v>0</v>
      </c>
      <c r="AD23" s="57">
        <f>AA23*P23</f>
        <v>0</v>
      </c>
      <c r="AE23" s="36">
        <f t="shared" si="6"/>
        <v>0</v>
      </c>
      <c r="AF23" s="34">
        <f t="shared" si="20"/>
        <v>0</v>
      </c>
      <c r="AG23" s="34">
        <f t="shared" si="7"/>
        <v>0</v>
      </c>
      <c r="AH23" s="34">
        <f t="shared" si="8"/>
        <v>0</v>
      </c>
      <c r="AI23" s="208">
        <f t="shared" si="9"/>
        <v>0</v>
      </c>
      <c r="AJ23" s="57">
        <f t="shared" si="10"/>
        <v>0</v>
      </c>
      <c r="AK23" s="57">
        <f t="shared" si="11"/>
        <v>0</v>
      </c>
      <c r="AL23" s="57">
        <f t="shared" si="12"/>
        <v>0</v>
      </c>
      <c r="AM23" s="159"/>
      <c r="AN23" s="159"/>
      <c r="AO23" s="159"/>
      <c r="AP23" s="159"/>
      <c r="AQ23" s="159"/>
      <c r="AR23" s="159"/>
      <c r="AS23" s="159"/>
      <c r="AT23" s="159"/>
    </row>
    <row r="24" spans="2:46" ht="45" customHeight="1">
      <c r="B24" s="388"/>
      <c r="C24" s="452"/>
      <c r="D24" s="186" t="s">
        <v>79</v>
      </c>
      <c r="E24" s="53">
        <v>2</v>
      </c>
      <c r="F24" s="53">
        <v>4</v>
      </c>
      <c r="G24" s="53" t="s">
        <v>43</v>
      </c>
      <c r="H24" s="54" t="s">
        <v>64</v>
      </c>
      <c r="I24" s="55">
        <f>30</f>
        <v>30</v>
      </c>
      <c r="J24" s="55">
        <f>30</f>
        <v>30</v>
      </c>
      <c r="K24" s="55">
        <f>30</f>
        <v>30</v>
      </c>
      <c r="L24" s="57">
        <f t="shared" si="15"/>
        <v>26.65</v>
      </c>
      <c r="M24" s="57">
        <v>1</v>
      </c>
      <c r="N24" s="57">
        <v>1</v>
      </c>
      <c r="O24" s="57">
        <v>1</v>
      </c>
      <c r="P24" s="57">
        <f t="shared" si="3"/>
        <v>26.65</v>
      </c>
      <c r="Q24" s="57">
        <f t="shared" si="3"/>
        <v>26.65</v>
      </c>
      <c r="R24" s="57">
        <f t="shared" si="3"/>
        <v>26.65</v>
      </c>
      <c r="S24" s="57">
        <f t="shared" si="16"/>
        <v>799.5</v>
      </c>
      <c r="T24" s="57">
        <f t="shared" si="16"/>
        <v>799.5</v>
      </c>
      <c r="U24" s="57">
        <f t="shared" si="16"/>
        <v>799.5</v>
      </c>
      <c r="V24" s="57"/>
      <c r="W24" s="57">
        <f t="shared" si="17"/>
        <v>0</v>
      </c>
      <c r="X24" s="57">
        <f t="shared" si="18"/>
        <v>0</v>
      </c>
      <c r="Y24" s="57">
        <f t="shared" si="19"/>
        <v>0</v>
      </c>
      <c r="Z24" s="39" t="s">
        <v>80</v>
      </c>
      <c r="AA24" s="36"/>
      <c r="AB24" s="57"/>
      <c r="AC24" s="57"/>
      <c r="AD24" s="57"/>
      <c r="AE24" s="36">
        <f t="shared" si="6"/>
        <v>0</v>
      </c>
      <c r="AF24" s="34">
        <f t="shared" si="20"/>
        <v>0</v>
      </c>
      <c r="AG24" s="34">
        <f t="shared" si="7"/>
        <v>0</v>
      </c>
      <c r="AH24" s="34">
        <f t="shared" si="8"/>
        <v>0</v>
      </c>
      <c r="AI24" s="208">
        <f t="shared" si="9"/>
        <v>0</v>
      </c>
      <c r="AJ24" s="57">
        <f t="shared" si="10"/>
        <v>0</v>
      </c>
      <c r="AK24" s="57">
        <f t="shared" si="11"/>
        <v>0</v>
      </c>
      <c r="AL24" s="57">
        <f t="shared" si="12"/>
        <v>0</v>
      </c>
      <c r="AM24" s="159"/>
      <c r="AN24" s="159"/>
      <c r="AO24" s="159"/>
      <c r="AP24" s="159"/>
      <c r="AQ24" s="159"/>
      <c r="AR24" s="159"/>
      <c r="AS24" s="159"/>
      <c r="AT24" s="159"/>
    </row>
    <row r="25" spans="2:46" ht="47.25" customHeight="1">
      <c r="B25" s="388"/>
      <c r="C25" s="452"/>
      <c r="D25" s="186" t="s">
        <v>81</v>
      </c>
      <c r="E25" s="53">
        <v>8</v>
      </c>
      <c r="F25" s="53">
        <v>4</v>
      </c>
      <c r="G25" s="53" t="s">
        <v>43</v>
      </c>
      <c r="H25" s="54" t="s">
        <v>64</v>
      </c>
      <c r="I25" s="55">
        <f>30</f>
        <v>30</v>
      </c>
      <c r="J25" s="55">
        <f>30</f>
        <v>30</v>
      </c>
      <c r="K25" s="55">
        <f>30</f>
        <v>30</v>
      </c>
      <c r="L25" s="57">
        <f t="shared" si="15"/>
        <v>106.6</v>
      </c>
      <c r="M25" s="57">
        <v>1</v>
      </c>
      <c r="N25" s="57">
        <v>1</v>
      </c>
      <c r="O25" s="57">
        <v>1</v>
      </c>
      <c r="P25" s="57">
        <f t="shared" si="3"/>
        <v>106.6</v>
      </c>
      <c r="Q25" s="57">
        <f t="shared" si="3"/>
        <v>106.6</v>
      </c>
      <c r="R25" s="57">
        <f t="shared" si="3"/>
        <v>106.6</v>
      </c>
      <c r="S25" s="57">
        <f t="shared" si="16"/>
        <v>3198</v>
      </c>
      <c r="T25" s="57">
        <f t="shared" si="16"/>
        <v>3198</v>
      </c>
      <c r="U25" s="57">
        <f t="shared" si="16"/>
        <v>3198</v>
      </c>
      <c r="V25" s="57"/>
      <c r="W25" s="57">
        <f t="shared" si="17"/>
        <v>0</v>
      </c>
      <c r="X25" s="57">
        <f t="shared" si="18"/>
        <v>0</v>
      </c>
      <c r="Y25" s="57">
        <f t="shared" si="19"/>
        <v>0</v>
      </c>
      <c r="Z25" s="39" t="s">
        <v>80</v>
      </c>
      <c r="AA25" s="36"/>
      <c r="AB25" s="57"/>
      <c r="AC25" s="57"/>
      <c r="AD25" s="57"/>
      <c r="AE25" s="36">
        <f t="shared" si="6"/>
        <v>0</v>
      </c>
      <c r="AF25" s="34">
        <f t="shared" si="20"/>
        <v>0</v>
      </c>
      <c r="AG25" s="34">
        <f t="shared" si="7"/>
        <v>0</v>
      </c>
      <c r="AH25" s="34">
        <f t="shared" si="8"/>
        <v>0</v>
      </c>
      <c r="AI25" s="208">
        <f t="shared" si="9"/>
        <v>0</v>
      </c>
      <c r="AJ25" s="57">
        <f t="shared" si="10"/>
        <v>0</v>
      </c>
      <c r="AK25" s="57">
        <f t="shared" si="11"/>
        <v>0</v>
      </c>
      <c r="AL25" s="57">
        <f t="shared" si="12"/>
        <v>0</v>
      </c>
      <c r="AM25" s="159"/>
      <c r="AN25" s="159"/>
      <c r="AO25" s="159"/>
      <c r="AP25" s="159"/>
      <c r="AQ25" s="159"/>
      <c r="AR25" s="159"/>
      <c r="AS25" s="159"/>
      <c r="AT25" s="159"/>
    </row>
    <row r="26" spans="2:46" ht="31.5" customHeight="1">
      <c r="B26" s="388"/>
      <c r="C26" s="452"/>
      <c r="D26" s="186" t="s">
        <v>82</v>
      </c>
      <c r="E26" s="53">
        <v>10</v>
      </c>
      <c r="F26" s="58">
        <f>4/30</f>
        <v>0.13333333333333333</v>
      </c>
      <c r="G26" s="53" t="s">
        <v>43</v>
      </c>
      <c r="H26" s="54" t="s">
        <v>74</v>
      </c>
      <c r="I26" s="55">
        <v>30</v>
      </c>
      <c r="J26" s="55">
        <v>30</v>
      </c>
      <c r="K26" s="55">
        <v>30</v>
      </c>
      <c r="L26" s="57">
        <f t="shared" si="15"/>
        <v>4.44</v>
      </c>
      <c r="M26" s="57">
        <v>1</v>
      </c>
      <c r="N26" s="57">
        <v>1</v>
      </c>
      <c r="O26" s="57">
        <v>1</v>
      </c>
      <c r="P26" s="57">
        <f t="shared" si="3"/>
        <v>4.44</v>
      </c>
      <c r="Q26" s="57">
        <f t="shared" si="3"/>
        <v>4.44</v>
      </c>
      <c r="R26" s="57">
        <f t="shared" si="3"/>
        <v>4.44</v>
      </c>
      <c r="S26" s="57">
        <f t="shared" si="16"/>
        <v>133.20000000000002</v>
      </c>
      <c r="T26" s="57">
        <f t="shared" si="16"/>
        <v>133.20000000000002</v>
      </c>
      <c r="U26" s="57">
        <f t="shared" si="16"/>
        <v>133.20000000000002</v>
      </c>
      <c r="V26" s="57">
        <v>0.5</v>
      </c>
      <c r="W26" s="57">
        <f t="shared" si="17"/>
        <v>0.5</v>
      </c>
      <c r="X26" s="57">
        <f t="shared" si="18"/>
        <v>0.5</v>
      </c>
      <c r="Y26" s="57">
        <f>V26*O26</f>
        <v>0.5</v>
      </c>
      <c r="AA26" s="36"/>
      <c r="AB26" s="57">
        <f>AA26*N26</f>
        <v>0</v>
      </c>
      <c r="AC26" s="57">
        <f>AA26*O26</f>
        <v>0</v>
      </c>
      <c r="AD26" s="57">
        <f>AA26*P26</f>
        <v>0</v>
      </c>
      <c r="AE26" s="36">
        <f t="shared" si="6"/>
        <v>0</v>
      </c>
      <c r="AF26" s="34">
        <f t="shared" si="20"/>
        <v>0</v>
      </c>
      <c r="AG26" s="34">
        <f t="shared" si="7"/>
        <v>0</v>
      </c>
      <c r="AH26" s="34">
        <f t="shared" si="8"/>
        <v>0</v>
      </c>
      <c r="AI26" s="208">
        <f t="shared" si="9"/>
        <v>0</v>
      </c>
      <c r="AJ26" s="57">
        <f t="shared" si="10"/>
        <v>0</v>
      </c>
      <c r="AK26" s="57">
        <f t="shared" si="11"/>
        <v>0</v>
      </c>
      <c r="AL26" s="57">
        <f t="shared" si="12"/>
        <v>0</v>
      </c>
      <c r="AM26" s="159"/>
      <c r="AN26" s="159"/>
      <c r="AO26" s="159"/>
      <c r="AP26" s="159"/>
      <c r="AQ26" s="159"/>
      <c r="AR26" s="159"/>
      <c r="AS26" s="159"/>
      <c r="AT26" s="159"/>
    </row>
    <row r="27" spans="2:46" ht="31.5" customHeight="1">
      <c r="B27" s="388"/>
      <c r="C27" s="452"/>
      <c r="D27" s="186" t="s">
        <v>83</v>
      </c>
      <c r="E27" s="53">
        <v>8</v>
      </c>
      <c r="F27" s="58">
        <f>4/30</f>
        <v>0.13333333333333333</v>
      </c>
      <c r="G27" s="53" t="s">
        <v>43</v>
      </c>
      <c r="H27" s="54" t="s">
        <v>64</v>
      </c>
      <c r="I27" s="55">
        <v>30</v>
      </c>
      <c r="J27" s="55">
        <v>30</v>
      </c>
      <c r="K27" s="55">
        <v>30</v>
      </c>
      <c r="L27" s="57">
        <f t="shared" si="15"/>
        <v>3.55</v>
      </c>
      <c r="M27" s="57">
        <v>1</v>
      </c>
      <c r="N27" s="57">
        <v>1</v>
      </c>
      <c r="O27" s="57">
        <v>1</v>
      </c>
      <c r="P27" s="57">
        <f aca="true" t="shared" si="21" ref="P27:R78">ROUND($L27*M27,2)</f>
        <v>3.55</v>
      </c>
      <c r="Q27" s="57">
        <f t="shared" si="21"/>
        <v>3.55</v>
      </c>
      <c r="R27" s="57">
        <f t="shared" si="21"/>
        <v>3.55</v>
      </c>
      <c r="S27" s="57">
        <f t="shared" si="16"/>
        <v>106.5</v>
      </c>
      <c r="T27" s="57">
        <f t="shared" si="16"/>
        <v>106.5</v>
      </c>
      <c r="U27" s="57">
        <f t="shared" si="16"/>
        <v>106.5</v>
      </c>
      <c r="V27" s="57"/>
      <c r="W27" s="57">
        <f t="shared" si="17"/>
        <v>0</v>
      </c>
      <c r="X27" s="57">
        <f t="shared" si="18"/>
        <v>0</v>
      </c>
      <c r="Y27" s="57">
        <f t="shared" si="19"/>
        <v>0</v>
      </c>
      <c r="AA27" s="36"/>
      <c r="AB27" s="57"/>
      <c r="AC27" s="57"/>
      <c r="AD27" s="57"/>
      <c r="AE27" s="36">
        <f t="shared" si="6"/>
        <v>0</v>
      </c>
      <c r="AF27" s="34">
        <f t="shared" si="20"/>
        <v>0</v>
      </c>
      <c r="AG27" s="34">
        <f t="shared" si="7"/>
        <v>0</v>
      </c>
      <c r="AH27" s="34">
        <f t="shared" si="8"/>
        <v>0</v>
      </c>
      <c r="AI27" s="208">
        <f t="shared" si="9"/>
        <v>0</v>
      </c>
      <c r="AJ27" s="57">
        <f t="shared" si="10"/>
        <v>0</v>
      </c>
      <c r="AK27" s="57">
        <f t="shared" si="11"/>
        <v>0</v>
      </c>
      <c r="AL27" s="57">
        <f t="shared" si="12"/>
        <v>0</v>
      </c>
      <c r="AM27" s="159"/>
      <c r="AN27" s="159"/>
      <c r="AO27" s="159"/>
      <c r="AP27" s="159"/>
      <c r="AQ27" s="159"/>
      <c r="AR27" s="159"/>
      <c r="AS27" s="159"/>
      <c r="AT27" s="159"/>
    </row>
    <row r="28" spans="2:46" ht="31.5" customHeight="1">
      <c r="B28" s="388"/>
      <c r="C28" s="452"/>
      <c r="D28" s="186" t="s">
        <v>84</v>
      </c>
      <c r="E28" s="53">
        <v>7</v>
      </c>
      <c r="F28" s="58">
        <f>8/30</f>
        <v>0.26666666666666666</v>
      </c>
      <c r="G28" s="53" t="s">
        <v>43</v>
      </c>
      <c r="H28" s="54" t="s">
        <v>74</v>
      </c>
      <c r="I28" s="55">
        <v>30</v>
      </c>
      <c r="J28" s="55">
        <v>30</v>
      </c>
      <c r="K28" s="55">
        <v>30</v>
      </c>
      <c r="L28" s="57">
        <f t="shared" si="15"/>
        <v>6.22</v>
      </c>
      <c r="M28" s="57">
        <v>1</v>
      </c>
      <c r="N28" s="57">
        <v>1</v>
      </c>
      <c r="O28" s="57">
        <v>0</v>
      </c>
      <c r="P28" s="57">
        <f t="shared" si="21"/>
        <v>6.22</v>
      </c>
      <c r="Q28" s="57">
        <f t="shared" si="21"/>
        <v>6.22</v>
      </c>
      <c r="R28" s="57">
        <f t="shared" si="21"/>
        <v>0</v>
      </c>
      <c r="S28" s="57">
        <f t="shared" si="16"/>
        <v>186.6</v>
      </c>
      <c r="T28" s="57">
        <f t="shared" si="16"/>
        <v>186.6</v>
      </c>
      <c r="U28" s="57">
        <f t="shared" si="16"/>
        <v>0</v>
      </c>
      <c r="V28" s="57">
        <v>0.2</v>
      </c>
      <c r="W28" s="57">
        <f t="shared" si="17"/>
        <v>0.2</v>
      </c>
      <c r="X28" s="57">
        <f t="shared" si="18"/>
        <v>0.2</v>
      </c>
      <c r="Y28" s="57">
        <f t="shared" si="19"/>
        <v>0</v>
      </c>
      <c r="AA28" s="36"/>
      <c r="AB28" s="57">
        <f>AA28*N28</f>
        <v>0</v>
      </c>
      <c r="AC28" s="57">
        <f>AA28*O28</f>
        <v>0</v>
      </c>
      <c r="AD28" s="57">
        <f>AA28*P28</f>
        <v>0</v>
      </c>
      <c r="AE28" s="36">
        <f t="shared" si="6"/>
        <v>0</v>
      </c>
      <c r="AF28" s="34">
        <f t="shared" si="20"/>
        <v>0</v>
      </c>
      <c r="AG28" s="34">
        <f t="shared" si="7"/>
        <v>0</v>
      </c>
      <c r="AH28" s="34">
        <f t="shared" si="8"/>
        <v>0</v>
      </c>
      <c r="AI28" s="208">
        <f t="shared" si="9"/>
        <v>0</v>
      </c>
      <c r="AJ28" s="57">
        <f t="shared" si="10"/>
        <v>0</v>
      </c>
      <c r="AK28" s="57">
        <f t="shared" si="11"/>
        <v>0</v>
      </c>
      <c r="AL28" s="57">
        <f t="shared" si="12"/>
        <v>0</v>
      </c>
      <c r="AM28" s="159"/>
      <c r="AN28" s="159"/>
      <c r="AO28" s="159"/>
      <c r="AP28" s="159"/>
      <c r="AQ28" s="159"/>
      <c r="AR28" s="159"/>
      <c r="AS28" s="159"/>
      <c r="AT28" s="159"/>
    </row>
    <row r="29" spans="2:46" ht="24.75" customHeight="1">
      <c r="B29" s="389"/>
      <c r="C29" s="453"/>
      <c r="D29" s="135" t="s">
        <v>85</v>
      </c>
      <c r="E29" s="56">
        <v>15</v>
      </c>
      <c r="F29" s="58">
        <f>1/30</f>
        <v>0.03333333333333333</v>
      </c>
      <c r="G29" s="56" t="s">
        <v>86</v>
      </c>
      <c r="H29" s="54" t="s">
        <v>4</v>
      </c>
      <c r="I29" s="55">
        <v>30</v>
      </c>
      <c r="J29" s="55">
        <v>30</v>
      </c>
      <c r="K29" s="55">
        <v>30</v>
      </c>
      <c r="L29" s="57">
        <f>ROUND(E29/60*$V$1/147.7*F29,2)</f>
        <v>0.94</v>
      </c>
      <c r="M29" s="57">
        <v>1</v>
      </c>
      <c r="N29" s="57">
        <v>1</v>
      </c>
      <c r="O29" s="57">
        <v>1</v>
      </c>
      <c r="P29" s="57">
        <f t="shared" si="21"/>
        <v>0.94</v>
      </c>
      <c r="Q29" s="57">
        <f t="shared" si="21"/>
        <v>0.94</v>
      </c>
      <c r="R29" s="57">
        <f t="shared" si="21"/>
        <v>0.94</v>
      </c>
      <c r="S29" s="57">
        <f t="shared" si="16"/>
        <v>28.2</v>
      </c>
      <c r="T29" s="57">
        <f t="shared" si="16"/>
        <v>28.2</v>
      </c>
      <c r="U29" s="57">
        <f t="shared" si="16"/>
        <v>28.2</v>
      </c>
      <c r="V29" s="57"/>
      <c r="W29" s="57">
        <f t="shared" si="17"/>
        <v>0</v>
      </c>
      <c r="X29" s="57">
        <f t="shared" si="18"/>
        <v>0</v>
      </c>
      <c r="Y29" s="57">
        <f t="shared" si="19"/>
        <v>0</v>
      </c>
      <c r="AA29" s="36"/>
      <c r="AB29" s="57"/>
      <c r="AC29" s="57"/>
      <c r="AD29" s="57"/>
      <c r="AE29" s="36">
        <f t="shared" si="6"/>
        <v>0</v>
      </c>
      <c r="AF29" s="34">
        <f t="shared" si="20"/>
        <v>0</v>
      </c>
      <c r="AG29" s="34">
        <f t="shared" si="7"/>
        <v>0</v>
      </c>
      <c r="AH29" s="34">
        <f t="shared" si="8"/>
        <v>0</v>
      </c>
      <c r="AI29" s="208">
        <f t="shared" si="9"/>
        <v>0</v>
      </c>
      <c r="AJ29" s="57">
        <f t="shared" si="10"/>
        <v>0</v>
      </c>
      <c r="AK29" s="57">
        <f t="shared" si="11"/>
        <v>0</v>
      </c>
      <c r="AL29" s="57">
        <f t="shared" si="12"/>
        <v>0</v>
      </c>
      <c r="AM29" s="159"/>
      <c r="AN29" s="159"/>
      <c r="AO29" s="159"/>
      <c r="AP29" s="159"/>
      <c r="AQ29" s="159"/>
      <c r="AR29" s="159"/>
      <c r="AS29" s="159"/>
      <c r="AT29" s="159"/>
    </row>
    <row r="30" spans="2:46" ht="85.5" customHeight="1">
      <c r="B30" s="26" t="s">
        <v>87</v>
      </c>
      <c r="C30" s="27" t="s">
        <v>88</v>
      </c>
      <c r="D30" s="25" t="s">
        <v>89</v>
      </c>
      <c r="E30" s="60">
        <v>15</v>
      </c>
      <c r="F30" s="61">
        <f>1/30</f>
        <v>0.03333333333333333</v>
      </c>
      <c r="G30" s="60" t="s">
        <v>90</v>
      </c>
      <c r="H30" s="60" t="s">
        <v>91</v>
      </c>
      <c r="I30" s="41">
        <v>30</v>
      </c>
      <c r="J30" s="41">
        <v>30</v>
      </c>
      <c r="K30" s="42">
        <v>30</v>
      </c>
      <c r="L30" s="33">
        <f>ROUND(E30/60*$H$1/147.7*F30,2)</f>
        <v>1.84</v>
      </c>
      <c r="M30" s="33">
        <v>1</v>
      </c>
      <c r="N30" s="33">
        <v>1</v>
      </c>
      <c r="O30" s="33">
        <v>1</v>
      </c>
      <c r="P30" s="33">
        <f t="shared" si="21"/>
        <v>1.84</v>
      </c>
      <c r="Q30" s="33">
        <f t="shared" si="21"/>
        <v>1.84</v>
      </c>
      <c r="R30" s="33">
        <f t="shared" si="21"/>
        <v>1.84</v>
      </c>
      <c r="S30" s="34">
        <f t="shared" si="16"/>
        <v>55.2</v>
      </c>
      <c r="T30" s="34">
        <f t="shared" si="16"/>
        <v>55.2</v>
      </c>
      <c r="U30" s="34">
        <f t="shared" si="16"/>
        <v>55.2</v>
      </c>
      <c r="V30" s="34"/>
      <c r="W30" s="47">
        <f>M30*V30</f>
        <v>0</v>
      </c>
      <c r="X30" s="47">
        <f>N30*V30</f>
        <v>0</v>
      </c>
      <c r="Y30" s="47">
        <f>O30*V30</f>
        <v>0</v>
      </c>
      <c r="AA30" s="36">
        <f>V30+L30</f>
        <v>1.84</v>
      </c>
      <c r="AB30" s="34">
        <f>W30+P30</f>
        <v>1.84</v>
      </c>
      <c r="AC30" s="34">
        <f>X30+Q30</f>
        <v>1.84</v>
      </c>
      <c r="AD30" s="34">
        <f>Y30+R30</f>
        <v>1.84</v>
      </c>
      <c r="AE30" s="36">
        <f t="shared" si="6"/>
        <v>0.4048</v>
      </c>
      <c r="AF30" s="34">
        <f>AB30*0.4</f>
        <v>0.7360000000000001</v>
      </c>
      <c r="AG30" s="34">
        <f t="shared" si="7"/>
        <v>0.8280000000000001</v>
      </c>
      <c r="AH30" s="34">
        <f t="shared" si="8"/>
        <v>0.4048</v>
      </c>
      <c r="AI30" s="208">
        <f t="shared" si="9"/>
        <v>2.2448</v>
      </c>
      <c r="AJ30" s="205">
        <f t="shared" si="10"/>
        <v>2.576</v>
      </c>
      <c r="AK30" s="205">
        <f t="shared" si="11"/>
        <v>2.668</v>
      </c>
      <c r="AL30" s="205">
        <f t="shared" si="12"/>
        <v>2.2448</v>
      </c>
      <c r="AM30" s="157">
        <v>189</v>
      </c>
      <c r="AN30" s="157">
        <f>AM30*AJ30</f>
        <v>486.86400000000003</v>
      </c>
      <c r="AO30" s="157">
        <v>50</v>
      </c>
      <c r="AP30" s="157">
        <f>AO30*$S30</f>
        <v>2760</v>
      </c>
      <c r="AQ30" s="157">
        <v>3</v>
      </c>
      <c r="AR30" s="157">
        <f>AQ30*$S30</f>
        <v>165.60000000000002</v>
      </c>
      <c r="AS30" s="157">
        <v>0</v>
      </c>
      <c r="AT30" s="157">
        <f>AS30*$U30</f>
        <v>0</v>
      </c>
    </row>
    <row r="31" spans="2:46" ht="21" customHeight="1">
      <c r="B31" s="16" t="s">
        <v>92</v>
      </c>
      <c r="C31" s="17"/>
      <c r="D31" s="190"/>
      <c r="E31" s="18"/>
      <c r="F31" s="18"/>
      <c r="G31" s="18"/>
      <c r="H31" s="18"/>
      <c r="I31" s="62"/>
      <c r="J31" s="8"/>
      <c r="K31" s="8"/>
      <c r="L31" s="63"/>
      <c r="M31" s="63"/>
      <c r="N31" s="63"/>
      <c r="O31" s="63"/>
      <c r="P31" s="63">
        <f t="shared" si="21"/>
        <v>0</v>
      </c>
      <c r="Q31" s="63">
        <f t="shared" si="21"/>
        <v>0</v>
      </c>
      <c r="R31" s="63">
        <f t="shared" si="21"/>
        <v>0</v>
      </c>
      <c r="S31" s="22">
        <f>S32+S43+S45+S48+S53+S54</f>
        <v>9427.2</v>
      </c>
      <c r="T31" s="22">
        <f>T32+T43+T45+T48+T53+T54</f>
        <v>2079.6000000000004</v>
      </c>
      <c r="U31" s="22">
        <f>U32+U43+U45+U48+U53+U54</f>
        <v>11125.2</v>
      </c>
      <c r="V31" s="22"/>
      <c r="W31" s="22">
        <f>W32+W43+W45+W48+W53+W54</f>
        <v>5.5</v>
      </c>
      <c r="X31" s="22">
        <f>X32+X43+X45+X48+X53+X54</f>
        <v>3.5</v>
      </c>
      <c r="Y31" s="22">
        <f>Y32+Y43+Y45+Y48+Y53+Y54</f>
        <v>5.5</v>
      </c>
      <c r="Z31" s="22"/>
      <c r="AA31" s="22">
        <f aca="true" t="shared" si="22" ref="AA31:AF31">AA32+AA43+AA45+AA48+AA53+AA54</f>
        <v>72.82</v>
      </c>
      <c r="AB31" s="22">
        <f t="shared" si="22"/>
        <v>319.74</v>
      </c>
      <c r="AC31" s="22">
        <f t="shared" si="22"/>
        <v>72.82</v>
      </c>
      <c r="AD31" s="22">
        <f t="shared" si="22"/>
        <v>376.34</v>
      </c>
      <c r="AE31" s="22">
        <f t="shared" si="22"/>
        <v>16.020400000000002</v>
      </c>
      <c r="AF31" s="22">
        <f t="shared" si="22"/>
        <v>127.89599999999999</v>
      </c>
      <c r="AG31" s="34">
        <f t="shared" si="7"/>
        <v>32.769</v>
      </c>
      <c r="AH31" s="34">
        <f t="shared" si="8"/>
        <v>82.7948</v>
      </c>
      <c r="AI31" s="22">
        <f>AI32+AI43+AI45+AI48+AI53+AI54</f>
        <v>88.8404</v>
      </c>
      <c r="AJ31" s="22">
        <f>AJ32+AJ43+AJ45+AJ48+AJ53+AJ54</f>
        <v>447.63599999999997</v>
      </c>
      <c r="AK31" s="22">
        <f>AK32+AK43+AK45+AK48+AK53+AK54</f>
        <v>105.589</v>
      </c>
      <c r="AL31" s="22">
        <f>AL32+AL43+AL45+AL48+AL53+AL54</f>
        <v>459.13480000000004</v>
      </c>
      <c r="AM31" s="160">
        <f>AM32+AM43+AM45+AM48+AM53+AM54</f>
        <v>2835</v>
      </c>
      <c r="AN31" s="160">
        <f aca="true" t="shared" si="23" ref="AN31:AT31">AN32+AN43+AN45+AN48+AN53+AN54</f>
        <v>253809.61199999996</v>
      </c>
      <c r="AO31" s="160">
        <f t="shared" si="23"/>
        <v>575</v>
      </c>
      <c r="AP31" s="160">
        <f t="shared" si="23"/>
        <v>1084128</v>
      </c>
      <c r="AQ31" s="160">
        <f t="shared" si="23"/>
        <v>518</v>
      </c>
      <c r="AR31" s="160">
        <f t="shared" si="23"/>
        <v>1196552.4</v>
      </c>
      <c r="AS31" s="160">
        <f t="shared" si="23"/>
        <v>610</v>
      </c>
      <c r="AT31" s="160">
        <f t="shared" si="23"/>
        <v>1334364</v>
      </c>
    </row>
    <row r="32" spans="2:46" ht="36.75" customHeight="1">
      <c r="B32" s="387" t="s">
        <v>93</v>
      </c>
      <c r="C32" s="449" t="s">
        <v>94</v>
      </c>
      <c r="D32" s="191"/>
      <c r="E32" s="179">
        <f>SUM(E33:E42)</f>
        <v>62</v>
      </c>
      <c r="F32" s="179">
        <f>SUM(F33:F42)</f>
        <v>1.0944444444444443</v>
      </c>
      <c r="G32" s="10"/>
      <c r="H32" s="51"/>
      <c r="I32" s="37"/>
      <c r="J32" s="41"/>
      <c r="K32" s="41"/>
      <c r="L32" s="64">
        <f>SUM(L33:L42)</f>
        <v>22.48</v>
      </c>
      <c r="M32" s="64">
        <v>10.1307</v>
      </c>
      <c r="N32" s="64">
        <v>1</v>
      </c>
      <c r="O32" s="64">
        <v>11.216</v>
      </c>
      <c r="P32" s="64">
        <f aca="true" t="shared" si="24" ref="P32:U32">SUM(P33:P42)</f>
        <v>227.73999999999998</v>
      </c>
      <c r="Q32" s="64">
        <f t="shared" si="24"/>
        <v>22.48</v>
      </c>
      <c r="R32" s="64">
        <f t="shared" si="24"/>
        <v>252.13999999999996</v>
      </c>
      <c r="S32" s="34">
        <f t="shared" si="24"/>
        <v>6832.2</v>
      </c>
      <c r="T32" s="34">
        <f t="shared" si="24"/>
        <v>674.4000000000001</v>
      </c>
      <c r="U32" s="34">
        <f t="shared" si="24"/>
        <v>7564.2</v>
      </c>
      <c r="V32" s="34">
        <v>3.5</v>
      </c>
      <c r="W32" s="34">
        <v>5.5</v>
      </c>
      <c r="X32" s="34">
        <f>V32*N32</f>
        <v>3.5</v>
      </c>
      <c r="Y32" s="34">
        <v>5.5</v>
      </c>
      <c r="AA32" s="36">
        <f>V32+L32</f>
        <v>25.98</v>
      </c>
      <c r="AB32" s="34">
        <f>W32+P32</f>
        <v>233.23999999999998</v>
      </c>
      <c r="AC32" s="34">
        <f>X32+Q32</f>
        <v>25.98</v>
      </c>
      <c r="AD32" s="34">
        <f>Y32+R32</f>
        <v>257.64</v>
      </c>
      <c r="AE32" s="36">
        <f t="shared" si="6"/>
        <v>5.7156</v>
      </c>
      <c r="AF32" s="34">
        <f>AB32*0.4</f>
        <v>93.29599999999999</v>
      </c>
      <c r="AG32" s="34">
        <f t="shared" si="7"/>
        <v>11.691</v>
      </c>
      <c r="AH32" s="34">
        <f t="shared" si="8"/>
        <v>56.6808</v>
      </c>
      <c r="AI32" s="208">
        <f t="shared" si="9"/>
        <v>31.6956</v>
      </c>
      <c r="AJ32" s="205">
        <f>AF32+AB32</f>
        <v>326.53599999999994</v>
      </c>
      <c r="AK32" s="205">
        <f>AG32+AC32</f>
        <v>37.671</v>
      </c>
      <c r="AL32" s="205">
        <f>AH32+AD32</f>
        <v>314.32079999999996</v>
      </c>
      <c r="AM32" s="157">
        <v>567</v>
      </c>
      <c r="AN32" s="157">
        <f>AM32*AJ32</f>
        <v>185145.91199999998</v>
      </c>
      <c r="AO32" s="157">
        <v>115</v>
      </c>
      <c r="AP32" s="157">
        <f>AO32*$S32</f>
        <v>785703</v>
      </c>
      <c r="AQ32" s="157">
        <v>127</v>
      </c>
      <c r="AR32" s="157">
        <f>AQ32*$S32</f>
        <v>867689.4</v>
      </c>
      <c r="AS32" s="157">
        <v>120</v>
      </c>
      <c r="AT32" s="157">
        <f>AS32*$U32</f>
        <v>907704</v>
      </c>
    </row>
    <row r="33" spans="2:46" ht="33.75" customHeight="1">
      <c r="B33" s="388"/>
      <c r="C33" s="450"/>
      <c r="D33" s="187" t="s">
        <v>95</v>
      </c>
      <c r="E33" s="55">
        <v>7</v>
      </c>
      <c r="F33" s="58">
        <f>1/30</f>
        <v>0.03333333333333333</v>
      </c>
      <c r="G33" s="56" t="s">
        <v>96</v>
      </c>
      <c r="H33" s="66" t="s">
        <v>97</v>
      </c>
      <c r="I33" s="55">
        <v>30</v>
      </c>
      <c r="J33" s="55">
        <v>30</v>
      </c>
      <c r="K33" s="55">
        <v>30</v>
      </c>
      <c r="L33" s="67">
        <f>ROUND(E33/60*$L$2/147.7*F33,2)</f>
        <v>1.14</v>
      </c>
      <c r="M33" s="67">
        <v>30</v>
      </c>
      <c r="N33" s="67">
        <v>1</v>
      </c>
      <c r="O33" s="67">
        <v>30</v>
      </c>
      <c r="P33" s="67">
        <f t="shared" si="21"/>
        <v>34.2</v>
      </c>
      <c r="Q33" s="67">
        <f t="shared" si="21"/>
        <v>1.14</v>
      </c>
      <c r="R33" s="67">
        <f t="shared" si="21"/>
        <v>34.2</v>
      </c>
      <c r="S33" s="57">
        <f aca="true" t="shared" si="25" ref="S33:U42">P33*I33</f>
        <v>1026</v>
      </c>
      <c r="T33" s="57">
        <f t="shared" si="25"/>
        <v>34.199999999999996</v>
      </c>
      <c r="U33" s="57">
        <f t="shared" si="25"/>
        <v>1026</v>
      </c>
      <c r="V33" s="57"/>
      <c r="W33" s="57"/>
      <c r="X33" s="57"/>
      <c r="Y33" s="57"/>
      <c r="AA33" s="36"/>
      <c r="AB33" s="57"/>
      <c r="AC33" s="57"/>
      <c r="AD33" s="57"/>
      <c r="AE33" s="36">
        <f t="shared" si="6"/>
        <v>0</v>
      </c>
      <c r="AF33" s="34">
        <f aca="true" t="shared" si="26" ref="AF33:AF78">AB33*0.4</f>
        <v>0</v>
      </c>
      <c r="AG33" s="34">
        <f t="shared" si="7"/>
        <v>0</v>
      </c>
      <c r="AH33" s="34">
        <f t="shared" si="8"/>
        <v>0</v>
      </c>
      <c r="AI33" s="208">
        <f t="shared" si="9"/>
        <v>0</v>
      </c>
      <c r="AJ33" s="57">
        <f t="shared" si="10"/>
        <v>0</v>
      </c>
      <c r="AK33" s="57">
        <f t="shared" si="11"/>
        <v>0</v>
      </c>
      <c r="AL33" s="57">
        <f t="shared" si="12"/>
        <v>0</v>
      </c>
      <c r="AM33" s="159"/>
      <c r="AN33" s="159"/>
      <c r="AO33" s="159">
        <f aca="true" t="shared" si="27" ref="AO33:AO42">AE33*U33</f>
        <v>0</v>
      </c>
      <c r="AP33" s="159">
        <f aca="true" t="shared" si="28" ref="AP33:AP42">AM33*V33</f>
        <v>0</v>
      </c>
      <c r="AQ33" s="159">
        <f aca="true" t="shared" si="29" ref="AQ33:AQ42">AN33*W33</f>
        <v>0</v>
      </c>
      <c r="AR33" s="159">
        <f aca="true" t="shared" si="30" ref="AR33:AR42">AO33*X33</f>
        <v>0</v>
      </c>
      <c r="AS33" s="159">
        <f aca="true" t="shared" si="31" ref="AS33:AS42">AP33*Y33</f>
        <v>0</v>
      </c>
      <c r="AT33" s="159">
        <f aca="true" t="shared" si="32" ref="AT33:AT42">AQ33*Z33</f>
        <v>0</v>
      </c>
    </row>
    <row r="34" spans="2:46" ht="26.25" customHeight="1">
      <c r="B34" s="388"/>
      <c r="C34" s="450"/>
      <c r="D34" s="187" t="s">
        <v>98</v>
      </c>
      <c r="E34" s="55">
        <v>2</v>
      </c>
      <c r="F34" s="58">
        <f>1/30</f>
        <v>0.03333333333333333</v>
      </c>
      <c r="G34" s="56" t="s">
        <v>96</v>
      </c>
      <c r="H34" s="66" t="s">
        <v>97</v>
      </c>
      <c r="I34" s="55">
        <v>30</v>
      </c>
      <c r="J34" s="55">
        <v>30</v>
      </c>
      <c r="K34" s="55">
        <v>30</v>
      </c>
      <c r="L34" s="67">
        <f>ROUND(E34/60*$L$2/147.7*F34,2)</f>
        <v>0.33</v>
      </c>
      <c r="M34" s="67">
        <v>60</v>
      </c>
      <c r="N34" s="67">
        <v>1</v>
      </c>
      <c r="O34" s="67">
        <v>60</v>
      </c>
      <c r="P34" s="67">
        <f t="shared" si="21"/>
        <v>19.8</v>
      </c>
      <c r="Q34" s="67">
        <f t="shared" si="21"/>
        <v>0.33</v>
      </c>
      <c r="R34" s="67">
        <f t="shared" si="21"/>
        <v>19.8</v>
      </c>
      <c r="S34" s="57">
        <f t="shared" si="25"/>
        <v>594</v>
      </c>
      <c r="T34" s="57">
        <f t="shared" si="25"/>
        <v>9.9</v>
      </c>
      <c r="U34" s="57">
        <f t="shared" si="25"/>
        <v>594</v>
      </c>
      <c r="V34" s="57"/>
      <c r="W34" s="57"/>
      <c r="X34" s="57"/>
      <c r="Y34" s="57"/>
      <c r="AA34" s="36"/>
      <c r="AB34" s="57"/>
      <c r="AC34" s="57"/>
      <c r="AD34" s="57"/>
      <c r="AE34" s="36">
        <f t="shared" si="6"/>
        <v>0</v>
      </c>
      <c r="AF34" s="34">
        <f t="shared" si="26"/>
        <v>0</v>
      </c>
      <c r="AG34" s="34">
        <f t="shared" si="7"/>
        <v>0</v>
      </c>
      <c r="AH34" s="34">
        <f t="shared" si="8"/>
        <v>0</v>
      </c>
      <c r="AI34" s="208">
        <f t="shared" si="9"/>
        <v>0</v>
      </c>
      <c r="AJ34" s="57">
        <f t="shared" si="10"/>
        <v>0</v>
      </c>
      <c r="AK34" s="57">
        <f t="shared" si="11"/>
        <v>0</v>
      </c>
      <c r="AL34" s="57">
        <f t="shared" si="12"/>
        <v>0</v>
      </c>
      <c r="AM34" s="159"/>
      <c r="AN34" s="159"/>
      <c r="AO34" s="159">
        <f t="shared" si="27"/>
        <v>0</v>
      </c>
      <c r="AP34" s="159">
        <f t="shared" si="28"/>
        <v>0</v>
      </c>
      <c r="AQ34" s="159">
        <f t="shared" si="29"/>
        <v>0</v>
      </c>
      <c r="AR34" s="159">
        <f t="shared" si="30"/>
        <v>0</v>
      </c>
      <c r="AS34" s="159">
        <f t="shared" si="31"/>
        <v>0</v>
      </c>
      <c r="AT34" s="159">
        <f t="shared" si="32"/>
        <v>0</v>
      </c>
    </row>
    <row r="35" spans="2:46" ht="75" customHeight="1">
      <c r="B35" s="388"/>
      <c r="C35" s="450"/>
      <c r="D35" s="187" t="s">
        <v>99</v>
      </c>
      <c r="E35" s="55">
        <v>7</v>
      </c>
      <c r="F35" s="58">
        <f>4/30</f>
        <v>0.13333333333333333</v>
      </c>
      <c r="G35" s="56" t="s">
        <v>12</v>
      </c>
      <c r="H35" s="66" t="s">
        <v>100</v>
      </c>
      <c r="I35" s="55">
        <v>30</v>
      </c>
      <c r="J35" s="55">
        <v>30</v>
      </c>
      <c r="K35" s="55">
        <v>30</v>
      </c>
      <c r="L35" s="67">
        <f>ROUND(E35/60*$L$3/147.7*F35,2)</f>
        <v>7.87</v>
      </c>
      <c r="M35" s="67">
        <v>5</v>
      </c>
      <c r="N35" s="67">
        <v>1</v>
      </c>
      <c r="O35" s="67">
        <v>5</v>
      </c>
      <c r="P35" s="67">
        <f t="shared" si="21"/>
        <v>39.35</v>
      </c>
      <c r="Q35" s="67">
        <f t="shared" si="21"/>
        <v>7.87</v>
      </c>
      <c r="R35" s="67">
        <f t="shared" si="21"/>
        <v>39.35</v>
      </c>
      <c r="S35" s="57">
        <f t="shared" si="25"/>
        <v>1180.5</v>
      </c>
      <c r="T35" s="57">
        <f t="shared" si="25"/>
        <v>236.1</v>
      </c>
      <c r="U35" s="57">
        <f t="shared" si="25"/>
        <v>1180.5</v>
      </c>
      <c r="V35" s="57"/>
      <c r="W35" s="57"/>
      <c r="X35" s="57"/>
      <c r="Y35" s="57"/>
      <c r="AA35" s="36"/>
      <c r="AB35" s="57"/>
      <c r="AC35" s="57"/>
      <c r="AD35" s="57"/>
      <c r="AE35" s="36">
        <f t="shared" si="6"/>
        <v>0</v>
      </c>
      <c r="AF35" s="34">
        <f t="shared" si="26"/>
        <v>0</v>
      </c>
      <c r="AG35" s="34">
        <f t="shared" si="7"/>
        <v>0</v>
      </c>
      <c r="AH35" s="34">
        <f t="shared" si="8"/>
        <v>0</v>
      </c>
      <c r="AI35" s="208">
        <f t="shared" si="9"/>
        <v>0</v>
      </c>
      <c r="AJ35" s="57">
        <f t="shared" si="10"/>
        <v>0</v>
      </c>
      <c r="AK35" s="57">
        <f t="shared" si="11"/>
        <v>0</v>
      </c>
      <c r="AL35" s="57">
        <f t="shared" si="12"/>
        <v>0</v>
      </c>
      <c r="AM35" s="159"/>
      <c r="AN35" s="159"/>
      <c r="AO35" s="159">
        <f t="shared" si="27"/>
        <v>0</v>
      </c>
      <c r="AP35" s="159">
        <f t="shared" si="28"/>
        <v>0</v>
      </c>
      <c r="AQ35" s="159">
        <f t="shared" si="29"/>
        <v>0</v>
      </c>
      <c r="AR35" s="159">
        <f t="shared" si="30"/>
        <v>0</v>
      </c>
      <c r="AS35" s="159">
        <f t="shared" si="31"/>
        <v>0</v>
      </c>
      <c r="AT35" s="159">
        <f t="shared" si="32"/>
        <v>0</v>
      </c>
    </row>
    <row r="36" spans="2:46" ht="67.5" customHeight="1">
      <c r="B36" s="388"/>
      <c r="C36" s="450"/>
      <c r="D36" s="187" t="s">
        <v>101</v>
      </c>
      <c r="E36" s="55">
        <v>5</v>
      </c>
      <c r="F36" s="58">
        <f>1/30</f>
        <v>0.03333333333333333</v>
      </c>
      <c r="G36" s="56" t="s">
        <v>12</v>
      </c>
      <c r="H36" s="66" t="s">
        <v>102</v>
      </c>
      <c r="I36" s="55">
        <v>30</v>
      </c>
      <c r="J36" s="55">
        <v>30</v>
      </c>
      <c r="K36" s="55">
        <v>30</v>
      </c>
      <c r="L36" s="67">
        <f>ROUND(E36/60*$L$3/147.7*F36,2)</f>
        <v>1.41</v>
      </c>
      <c r="M36" s="67">
        <v>20</v>
      </c>
      <c r="N36" s="67">
        <v>1</v>
      </c>
      <c r="O36" s="67">
        <v>20</v>
      </c>
      <c r="P36" s="67">
        <f t="shared" si="21"/>
        <v>28.2</v>
      </c>
      <c r="Q36" s="67">
        <f t="shared" si="21"/>
        <v>1.41</v>
      </c>
      <c r="R36" s="67">
        <f t="shared" si="21"/>
        <v>28.2</v>
      </c>
      <c r="S36" s="57">
        <f t="shared" si="25"/>
        <v>846</v>
      </c>
      <c r="T36" s="57">
        <f t="shared" si="25"/>
        <v>42.3</v>
      </c>
      <c r="U36" s="57">
        <f t="shared" si="25"/>
        <v>846</v>
      </c>
      <c r="V36" s="57"/>
      <c r="W36" s="57"/>
      <c r="X36" s="57"/>
      <c r="Y36" s="57"/>
      <c r="AA36" s="36"/>
      <c r="AB36" s="57"/>
      <c r="AC36" s="57"/>
      <c r="AD36" s="57"/>
      <c r="AE36" s="36">
        <f t="shared" si="6"/>
        <v>0</v>
      </c>
      <c r="AF36" s="34">
        <f t="shared" si="26"/>
        <v>0</v>
      </c>
      <c r="AG36" s="34">
        <f t="shared" si="7"/>
        <v>0</v>
      </c>
      <c r="AH36" s="34">
        <f t="shared" si="8"/>
        <v>0</v>
      </c>
      <c r="AI36" s="208">
        <f t="shared" si="9"/>
        <v>0</v>
      </c>
      <c r="AJ36" s="57">
        <f t="shared" si="10"/>
        <v>0</v>
      </c>
      <c r="AK36" s="57">
        <f t="shared" si="11"/>
        <v>0</v>
      </c>
      <c r="AL36" s="57">
        <f t="shared" si="12"/>
        <v>0</v>
      </c>
      <c r="AM36" s="159"/>
      <c r="AN36" s="159"/>
      <c r="AO36" s="159">
        <f t="shared" si="27"/>
        <v>0</v>
      </c>
      <c r="AP36" s="159">
        <f t="shared" si="28"/>
        <v>0</v>
      </c>
      <c r="AQ36" s="159">
        <f t="shared" si="29"/>
        <v>0</v>
      </c>
      <c r="AR36" s="159">
        <f t="shared" si="30"/>
        <v>0</v>
      </c>
      <c r="AS36" s="159">
        <f t="shared" si="31"/>
        <v>0</v>
      </c>
      <c r="AT36" s="159">
        <f t="shared" si="32"/>
        <v>0</v>
      </c>
    </row>
    <row r="37" spans="2:46" ht="69.75" customHeight="1">
      <c r="B37" s="388"/>
      <c r="C37" s="450"/>
      <c r="D37" s="192" t="s">
        <v>103</v>
      </c>
      <c r="E37" s="55">
        <v>2</v>
      </c>
      <c r="F37" s="58">
        <f>20/30</f>
        <v>0.6666666666666666</v>
      </c>
      <c r="G37" s="56" t="s">
        <v>96</v>
      </c>
      <c r="H37" s="66" t="s">
        <v>104</v>
      </c>
      <c r="I37" s="55">
        <v>30</v>
      </c>
      <c r="J37" s="55">
        <v>30</v>
      </c>
      <c r="K37" s="55">
        <v>30</v>
      </c>
      <c r="L37" s="67">
        <f>ROUND(E37/60*$L$2/147.7*F37,2)</f>
        <v>6.53</v>
      </c>
      <c r="M37" s="67">
        <v>2</v>
      </c>
      <c r="N37" s="67">
        <v>1</v>
      </c>
      <c r="O37" s="67">
        <v>2.8</v>
      </c>
      <c r="P37" s="67">
        <f t="shared" si="21"/>
        <v>13.06</v>
      </c>
      <c r="Q37" s="67">
        <f t="shared" si="21"/>
        <v>6.53</v>
      </c>
      <c r="R37" s="67">
        <f t="shared" si="21"/>
        <v>18.28</v>
      </c>
      <c r="S37" s="57">
        <f t="shared" si="25"/>
        <v>391.8</v>
      </c>
      <c r="T37" s="57">
        <f t="shared" si="25"/>
        <v>195.9</v>
      </c>
      <c r="U37" s="57">
        <f t="shared" si="25"/>
        <v>548.4000000000001</v>
      </c>
      <c r="V37" s="57"/>
      <c r="W37" s="57"/>
      <c r="X37" s="57"/>
      <c r="Y37" s="57"/>
      <c r="AA37" s="36"/>
      <c r="AB37" s="57"/>
      <c r="AC37" s="57"/>
      <c r="AD37" s="57"/>
      <c r="AE37" s="36">
        <f t="shared" si="6"/>
        <v>0</v>
      </c>
      <c r="AF37" s="34">
        <f t="shared" si="26"/>
        <v>0</v>
      </c>
      <c r="AG37" s="34">
        <f t="shared" si="7"/>
        <v>0</v>
      </c>
      <c r="AH37" s="34">
        <f t="shared" si="8"/>
        <v>0</v>
      </c>
      <c r="AI37" s="208">
        <f t="shared" si="9"/>
        <v>0</v>
      </c>
      <c r="AJ37" s="57">
        <f t="shared" si="10"/>
        <v>0</v>
      </c>
      <c r="AK37" s="57">
        <f t="shared" si="11"/>
        <v>0</v>
      </c>
      <c r="AL37" s="57">
        <f t="shared" si="12"/>
        <v>0</v>
      </c>
      <c r="AM37" s="159"/>
      <c r="AN37" s="159"/>
      <c r="AO37" s="159">
        <f t="shared" si="27"/>
        <v>0</v>
      </c>
      <c r="AP37" s="159">
        <f t="shared" si="28"/>
        <v>0</v>
      </c>
      <c r="AQ37" s="159">
        <f t="shared" si="29"/>
        <v>0</v>
      </c>
      <c r="AR37" s="159">
        <f t="shared" si="30"/>
        <v>0</v>
      </c>
      <c r="AS37" s="159">
        <f t="shared" si="31"/>
        <v>0</v>
      </c>
      <c r="AT37" s="159">
        <f t="shared" si="32"/>
        <v>0</v>
      </c>
    </row>
    <row r="38" spans="2:46" ht="39" customHeight="1">
      <c r="B38" s="388"/>
      <c r="C38" s="450"/>
      <c r="D38" s="187" t="s">
        <v>105</v>
      </c>
      <c r="E38" s="55">
        <v>5</v>
      </c>
      <c r="F38" s="58">
        <f>1/30</f>
        <v>0.03333333333333333</v>
      </c>
      <c r="G38" s="56" t="s">
        <v>96</v>
      </c>
      <c r="H38" s="66" t="s">
        <v>97</v>
      </c>
      <c r="I38" s="55">
        <v>30</v>
      </c>
      <c r="J38" s="55">
        <v>30</v>
      </c>
      <c r="K38" s="55">
        <v>30</v>
      </c>
      <c r="L38" s="67">
        <f>ROUND(E38/60*$L$2/147.7*F38,2)</f>
        <v>0.82</v>
      </c>
      <c r="M38" s="67">
        <v>30</v>
      </c>
      <c r="N38" s="67">
        <v>1</v>
      </c>
      <c r="O38" s="67">
        <v>30</v>
      </c>
      <c r="P38" s="67">
        <f t="shared" si="21"/>
        <v>24.6</v>
      </c>
      <c r="Q38" s="67">
        <f t="shared" si="21"/>
        <v>0.82</v>
      </c>
      <c r="R38" s="67">
        <f t="shared" si="21"/>
        <v>24.6</v>
      </c>
      <c r="S38" s="57">
        <f t="shared" si="25"/>
        <v>738</v>
      </c>
      <c r="T38" s="57">
        <f t="shared" si="25"/>
        <v>24.599999999999998</v>
      </c>
      <c r="U38" s="57">
        <f t="shared" si="25"/>
        <v>738</v>
      </c>
      <c r="V38" s="57"/>
      <c r="W38" s="57"/>
      <c r="X38" s="57"/>
      <c r="Y38" s="57"/>
      <c r="AA38" s="36"/>
      <c r="AB38" s="57"/>
      <c r="AC38" s="57"/>
      <c r="AD38" s="57"/>
      <c r="AE38" s="36">
        <f t="shared" si="6"/>
        <v>0</v>
      </c>
      <c r="AF38" s="34">
        <f t="shared" si="26"/>
        <v>0</v>
      </c>
      <c r="AG38" s="34">
        <f t="shared" si="7"/>
        <v>0</v>
      </c>
      <c r="AH38" s="34">
        <f t="shared" si="8"/>
        <v>0</v>
      </c>
      <c r="AI38" s="208">
        <f t="shared" si="9"/>
        <v>0</v>
      </c>
      <c r="AJ38" s="57">
        <f t="shared" si="10"/>
        <v>0</v>
      </c>
      <c r="AK38" s="57">
        <f t="shared" si="11"/>
        <v>0</v>
      </c>
      <c r="AL38" s="57">
        <f t="shared" si="12"/>
        <v>0</v>
      </c>
      <c r="AM38" s="159"/>
      <c r="AN38" s="159"/>
      <c r="AO38" s="159">
        <f t="shared" si="27"/>
        <v>0</v>
      </c>
      <c r="AP38" s="159">
        <f t="shared" si="28"/>
        <v>0</v>
      </c>
      <c r="AQ38" s="159">
        <f t="shared" si="29"/>
        <v>0</v>
      </c>
      <c r="AR38" s="159">
        <f t="shared" si="30"/>
        <v>0</v>
      </c>
      <c r="AS38" s="159">
        <f t="shared" si="31"/>
        <v>0</v>
      </c>
      <c r="AT38" s="159">
        <f t="shared" si="32"/>
        <v>0</v>
      </c>
    </row>
    <row r="39" spans="2:46" ht="26.25" customHeight="1">
      <c r="B39" s="388"/>
      <c r="C39" s="450"/>
      <c r="D39" s="187" t="s">
        <v>106</v>
      </c>
      <c r="E39" s="55">
        <v>10</v>
      </c>
      <c r="F39" s="58">
        <f>1/90</f>
        <v>0.011111111111111112</v>
      </c>
      <c r="G39" s="56" t="s">
        <v>96</v>
      </c>
      <c r="H39" s="66" t="s">
        <v>97</v>
      </c>
      <c r="I39" s="55">
        <v>30</v>
      </c>
      <c r="J39" s="55">
        <v>30</v>
      </c>
      <c r="K39" s="55">
        <v>30</v>
      </c>
      <c r="L39" s="67">
        <f>ROUND(E39/60*$L$2/147.7*F39,2)</f>
        <v>0.54</v>
      </c>
      <c r="M39" s="67">
        <v>36</v>
      </c>
      <c r="N39" s="67">
        <v>1</v>
      </c>
      <c r="O39" s="67">
        <v>36</v>
      </c>
      <c r="P39" s="67">
        <f t="shared" si="21"/>
        <v>19.44</v>
      </c>
      <c r="Q39" s="67">
        <f t="shared" si="21"/>
        <v>0.54</v>
      </c>
      <c r="R39" s="67">
        <f t="shared" si="21"/>
        <v>19.44</v>
      </c>
      <c r="S39" s="57">
        <f t="shared" si="25"/>
        <v>583.2</v>
      </c>
      <c r="T39" s="57">
        <f t="shared" si="25"/>
        <v>16.200000000000003</v>
      </c>
      <c r="U39" s="57">
        <f t="shared" si="25"/>
        <v>583.2</v>
      </c>
      <c r="V39" s="57"/>
      <c r="W39" s="57"/>
      <c r="X39" s="57"/>
      <c r="Y39" s="57"/>
      <c r="AA39" s="36"/>
      <c r="AB39" s="57"/>
      <c r="AC39" s="57"/>
      <c r="AD39" s="57"/>
      <c r="AE39" s="36">
        <f t="shared" si="6"/>
        <v>0</v>
      </c>
      <c r="AF39" s="34">
        <f t="shared" si="26"/>
        <v>0</v>
      </c>
      <c r="AG39" s="34">
        <f t="shared" si="7"/>
        <v>0</v>
      </c>
      <c r="AH39" s="34">
        <f t="shared" si="8"/>
        <v>0</v>
      </c>
      <c r="AI39" s="208">
        <f t="shared" si="9"/>
        <v>0</v>
      </c>
      <c r="AJ39" s="57">
        <f t="shared" si="10"/>
        <v>0</v>
      </c>
      <c r="AK39" s="57">
        <f t="shared" si="11"/>
        <v>0</v>
      </c>
      <c r="AL39" s="57">
        <f t="shared" si="12"/>
        <v>0</v>
      </c>
      <c r="AM39" s="159"/>
      <c r="AN39" s="159"/>
      <c r="AO39" s="159">
        <f t="shared" si="27"/>
        <v>0</v>
      </c>
      <c r="AP39" s="159">
        <f t="shared" si="28"/>
        <v>0</v>
      </c>
      <c r="AQ39" s="159">
        <f t="shared" si="29"/>
        <v>0</v>
      </c>
      <c r="AR39" s="159">
        <f t="shared" si="30"/>
        <v>0</v>
      </c>
      <c r="AS39" s="159">
        <f t="shared" si="31"/>
        <v>0</v>
      </c>
      <c r="AT39" s="159">
        <f t="shared" si="32"/>
        <v>0</v>
      </c>
    </row>
    <row r="40" spans="2:46" ht="31.5" customHeight="1">
      <c r="B40" s="388"/>
      <c r="C40" s="450"/>
      <c r="D40" s="187" t="s">
        <v>107</v>
      </c>
      <c r="E40" s="55">
        <v>10</v>
      </c>
      <c r="F40" s="58">
        <f>1/90</f>
        <v>0.011111111111111112</v>
      </c>
      <c r="G40" s="56" t="s">
        <v>96</v>
      </c>
      <c r="H40" s="66" t="s">
        <v>97</v>
      </c>
      <c r="I40" s="55">
        <v>30</v>
      </c>
      <c r="J40" s="55">
        <v>30</v>
      </c>
      <c r="K40" s="55">
        <v>30</v>
      </c>
      <c r="L40" s="67">
        <f>ROUND(E40/60*$L$2/147.7*F40,2)</f>
        <v>0.54</v>
      </c>
      <c r="M40" s="67">
        <v>60</v>
      </c>
      <c r="N40" s="67">
        <v>1</v>
      </c>
      <c r="O40" s="67">
        <v>84</v>
      </c>
      <c r="P40" s="67">
        <f>ROUND($L40*M40,2)</f>
        <v>32.4</v>
      </c>
      <c r="Q40" s="67">
        <f t="shared" si="21"/>
        <v>0.54</v>
      </c>
      <c r="R40" s="67">
        <f t="shared" si="21"/>
        <v>45.36</v>
      </c>
      <c r="S40" s="57">
        <f t="shared" si="25"/>
        <v>972</v>
      </c>
      <c r="T40" s="57">
        <f t="shared" si="25"/>
        <v>16.200000000000003</v>
      </c>
      <c r="U40" s="57">
        <f t="shared" si="25"/>
        <v>1360.8</v>
      </c>
      <c r="V40" s="57"/>
      <c r="W40" s="57"/>
      <c r="X40" s="57"/>
      <c r="Y40" s="57"/>
      <c r="AA40" s="36"/>
      <c r="AB40" s="57"/>
      <c r="AC40" s="57"/>
      <c r="AD40" s="57"/>
      <c r="AE40" s="36">
        <f t="shared" si="6"/>
        <v>0</v>
      </c>
      <c r="AF40" s="34">
        <f t="shared" si="26"/>
        <v>0</v>
      </c>
      <c r="AG40" s="34">
        <f t="shared" si="7"/>
        <v>0</v>
      </c>
      <c r="AH40" s="34">
        <f t="shared" si="8"/>
        <v>0</v>
      </c>
      <c r="AI40" s="208">
        <f t="shared" si="9"/>
        <v>0</v>
      </c>
      <c r="AJ40" s="57">
        <f t="shared" si="10"/>
        <v>0</v>
      </c>
      <c r="AK40" s="57">
        <f t="shared" si="11"/>
        <v>0</v>
      </c>
      <c r="AL40" s="57">
        <f t="shared" si="12"/>
        <v>0</v>
      </c>
      <c r="AM40" s="159"/>
      <c r="AN40" s="159"/>
      <c r="AO40" s="159">
        <f t="shared" si="27"/>
        <v>0</v>
      </c>
      <c r="AP40" s="159">
        <f t="shared" si="28"/>
        <v>0</v>
      </c>
      <c r="AQ40" s="159">
        <f t="shared" si="29"/>
        <v>0</v>
      </c>
      <c r="AR40" s="159">
        <f t="shared" si="30"/>
        <v>0</v>
      </c>
      <c r="AS40" s="159">
        <f t="shared" si="31"/>
        <v>0</v>
      </c>
      <c r="AT40" s="159">
        <f t="shared" si="32"/>
        <v>0</v>
      </c>
    </row>
    <row r="41" spans="2:46" ht="43.5" customHeight="1">
      <c r="B41" s="388"/>
      <c r="C41" s="450"/>
      <c r="D41" s="187" t="s">
        <v>108</v>
      </c>
      <c r="E41" s="55">
        <v>7</v>
      </c>
      <c r="F41" s="58">
        <f>1/180</f>
        <v>0.005555555555555556</v>
      </c>
      <c r="G41" s="56" t="s">
        <v>96</v>
      </c>
      <c r="H41" s="66" t="s">
        <v>97</v>
      </c>
      <c r="I41" s="55">
        <v>30</v>
      </c>
      <c r="J41" s="55">
        <v>30</v>
      </c>
      <c r="K41" s="55">
        <v>30</v>
      </c>
      <c r="L41" s="67">
        <f>ROUND(E41/60*$L$2/147.7*F41,2)</f>
        <v>0.19</v>
      </c>
      <c r="M41" s="67">
        <v>6</v>
      </c>
      <c r="N41" s="67">
        <v>1</v>
      </c>
      <c r="O41" s="67">
        <v>6</v>
      </c>
      <c r="P41" s="67">
        <f t="shared" si="21"/>
        <v>1.14</v>
      </c>
      <c r="Q41" s="67">
        <f t="shared" si="21"/>
        <v>0.19</v>
      </c>
      <c r="R41" s="67">
        <f t="shared" si="21"/>
        <v>1.14</v>
      </c>
      <c r="S41" s="57">
        <f t="shared" si="25"/>
        <v>34.199999999999996</v>
      </c>
      <c r="T41" s="57">
        <f t="shared" si="25"/>
        <v>5.7</v>
      </c>
      <c r="U41" s="57">
        <f t="shared" si="25"/>
        <v>34.199999999999996</v>
      </c>
      <c r="V41" s="57"/>
      <c r="W41" s="57"/>
      <c r="X41" s="57"/>
      <c r="Y41" s="57"/>
      <c r="AA41" s="36"/>
      <c r="AB41" s="57"/>
      <c r="AC41" s="57"/>
      <c r="AD41" s="57"/>
      <c r="AE41" s="36">
        <f t="shared" si="6"/>
        <v>0</v>
      </c>
      <c r="AF41" s="34">
        <f t="shared" si="26"/>
        <v>0</v>
      </c>
      <c r="AG41" s="34">
        <f t="shared" si="7"/>
        <v>0</v>
      </c>
      <c r="AH41" s="34">
        <f t="shared" si="8"/>
        <v>0</v>
      </c>
      <c r="AI41" s="208">
        <f t="shared" si="9"/>
        <v>0</v>
      </c>
      <c r="AJ41" s="57">
        <f t="shared" si="10"/>
        <v>0</v>
      </c>
      <c r="AK41" s="57">
        <f t="shared" si="11"/>
        <v>0</v>
      </c>
      <c r="AL41" s="57">
        <f t="shared" si="12"/>
        <v>0</v>
      </c>
      <c r="AM41" s="159"/>
      <c r="AN41" s="159"/>
      <c r="AO41" s="159">
        <f t="shared" si="27"/>
        <v>0</v>
      </c>
      <c r="AP41" s="159">
        <f t="shared" si="28"/>
        <v>0</v>
      </c>
      <c r="AQ41" s="159">
        <f t="shared" si="29"/>
        <v>0</v>
      </c>
      <c r="AR41" s="159">
        <f t="shared" si="30"/>
        <v>0</v>
      </c>
      <c r="AS41" s="159">
        <f t="shared" si="31"/>
        <v>0</v>
      </c>
      <c r="AT41" s="159">
        <f t="shared" si="32"/>
        <v>0</v>
      </c>
    </row>
    <row r="42" spans="2:46" ht="30.75" customHeight="1">
      <c r="B42" s="388"/>
      <c r="C42" s="450"/>
      <c r="D42" s="193" t="s">
        <v>109</v>
      </c>
      <c r="E42" s="71">
        <v>7</v>
      </c>
      <c r="F42" s="58">
        <f>4/30</f>
        <v>0.13333333333333333</v>
      </c>
      <c r="G42" s="53" t="s">
        <v>43</v>
      </c>
      <c r="H42" s="72" t="s">
        <v>110</v>
      </c>
      <c r="I42" s="55">
        <v>30</v>
      </c>
      <c r="J42" s="55">
        <v>30</v>
      </c>
      <c r="K42" s="55">
        <v>30</v>
      </c>
      <c r="L42" s="67">
        <f>ROUND(E42/60*$L$1/147.7*F42,2)</f>
        <v>3.11</v>
      </c>
      <c r="M42" s="67">
        <v>5</v>
      </c>
      <c r="N42" s="67">
        <v>1</v>
      </c>
      <c r="O42" s="67">
        <v>7</v>
      </c>
      <c r="P42" s="67">
        <f>ROUND($L42*M42,2)</f>
        <v>15.55</v>
      </c>
      <c r="Q42" s="67">
        <f t="shared" si="21"/>
        <v>3.11</v>
      </c>
      <c r="R42" s="67">
        <f t="shared" si="21"/>
        <v>21.77</v>
      </c>
      <c r="S42" s="57">
        <f t="shared" si="25"/>
        <v>466.5</v>
      </c>
      <c r="T42" s="57">
        <f t="shared" si="25"/>
        <v>93.3</v>
      </c>
      <c r="U42" s="57">
        <f t="shared" si="25"/>
        <v>653.1</v>
      </c>
      <c r="V42" s="57"/>
      <c r="W42" s="57"/>
      <c r="X42" s="57"/>
      <c r="Y42" s="57"/>
      <c r="AA42" s="36"/>
      <c r="AB42" s="57"/>
      <c r="AC42" s="57"/>
      <c r="AD42" s="57"/>
      <c r="AE42" s="36">
        <f t="shared" si="6"/>
        <v>0</v>
      </c>
      <c r="AF42" s="34">
        <f t="shared" si="26"/>
        <v>0</v>
      </c>
      <c r="AG42" s="34">
        <f t="shared" si="7"/>
        <v>0</v>
      </c>
      <c r="AH42" s="34">
        <f t="shared" si="8"/>
        <v>0</v>
      </c>
      <c r="AI42" s="208">
        <f t="shared" si="9"/>
        <v>0</v>
      </c>
      <c r="AJ42" s="57">
        <f t="shared" si="10"/>
        <v>0</v>
      </c>
      <c r="AK42" s="57">
        <f t="shared" si="11"/>
        <v>0</v>
      </c>
      <c r="AL42" s="57">
        <f t="shared" si="12"/>
        <v>0</v>
      </c>
      <c r="AM42" s="159"/>
      <c r="AN42" s="159"/>
      <c r="AO42" s="159">
        <f t="shared" si="27"/>
        <v>0</v>
      </c>
      <c r="AP42" s="159">
        <f t="shared" si="28"/>
        <v>0</v>
      </c>
      <c r="AQ42" s="159">
        <f t="shared" si="29"/>
        <v>0</v>
      </c>
      <c r="AR42" s="159">
        <f t="shared" si="30"/>
        <v>0</v>
      </c>
      <c r="AS42" s="159">
        <f t="shared" si="31"/>
        <v>0</v>
      </c>
      <c r="AT42" s="159">
        <f t="shared" si="32"/>
        <v>0</v>
      </c>
    </row>
    <row r="43" spans="2:46" ht="46.5" customHeight="1">
      <c r="B43" s="387" t="s">
        <v>111</v>
      </c>
      <c r="C43" s="433" t="s">
        <v>112</v>
      </c>
      <c r="D43" s="191"/>
      <c r="E43" s="9">
        <f>SUM(E44:E44)</f>
        <v>15</v>
      </c>
      <c r="F43" s="9">
        <f>SUM(F44:F44)</f>
        <v>0.0027397260273972603</v>
      </c>
      <c r="G43" s="10"/>
      <c r="H43" s="51"/>
      <c r="I43" s="26"/>
      <c r="J43" s="26"/>
      <c r="K43" s="26"/>
      <c r="L43" s="64">
        <f>SUM(L44:L44)</f>
        <v>0.2</v>
      </c>
      <c r="M43" s="64">
        <f>SUM(M44:M44)</f>
        <v>1</v>
      </c>
      <c r="N43" s="64">
        <f>SUM(N44:N44)</f>
        <v>1</v>
      </c>
      <c r="O43" s="64">
        <f>SUM(O44:O44)</f>
        <v>1</v>
      </c>
      <c r="P43" s="64">
        <f>ROUND($L43*M43,2)</f>
        <v>0.2</v>
      </c>
      <c r="Q43" s="64">
        <f t="shared" si="21"/>
        <v>0.2</v>
      </c>
      <c r="R43" s="64">
        <f t="shared" si="21"/>
        <v>0.2</v>
      </c>
      <c r="S43" s="34">
        <f>SUM(S44:S44)</f>
        <v>6</v>
      </c>
      <c r="T43" s="34">
        <f>SUM(T44:T44)</f>
        <v>6</v>
      </c>
      <c r="U43" s="34">
        <f>SUM(U44:U44)</f>
        <v>6</v>
      </c>
      <c r="V43" s="34"/>
      <c r="W43" s="34">
        <f>SUM(W44)</f>
        <v>0</v>
      </c>
      <c r="X43" s="34">
        <f>SUM(X44)</f>
        <v>0</v>
      </c>
      <c r="Y43" s="34">
        <f>SUM(Y44)</f>
        <v>0</v>
      </c>
      <c r="AA43" s="36">
        <f>V43+L43</f>
        <v>0.2</v>
      </c>
      <c r="AB43" s="34">
        <f>W43+P43</f>
        <v>0.2</v>
      </c>
      <c r="AC43" s="34">
        <f>X43+Q43</f>
        <v>0.2</v>
      </c>
      <c r="AD43" s="34">
        <f>Y43+R43</f>
        <v>0.2</v>
      </c>
      <c r="AE43" s="36">
        <f t="shared" si="6"/>
        <v>0.044000000000000004</v>
      </c>
      <c r="AF43" s="34">
        <f t="shared" si="26"/>
        <v>0.08000000000000002</v>
      </c>
      <c r="AG43" s="34">
        <f t="shared" si="7"/>
        <v>0.09000000000000001</v>
      </c>
      <c r="AH43" s="34">
        <f t="shared" si="8"/>
        <v>0.044000000000000004</v>
      </c>
      <c r="AI43" s="208">
        <f t="shared" si="9"/>
        <v>0.24400000000000002</v>
      </c>
      <c r="AJ43" s="205">
        <f t="shared" si="10"/>
        <v>0.28</v>
      </c>
      <c r="AK43" s="205">
        <f t="shared" si="11"/>
        <v>0.29000000000000004</v>
      </c>
      <c r="AL43" s="205">
        <f t="shared" si="12"/>
        <v>0.24400000000000002</v>
      </c>
      <c r="AM43" s="157">
        <v>567</v>
      </c>
      <c r="AN43" s="157">
        <f>AM43*AJ43</f>
        <v>158.76000000000002</v>
      </c>
      <c r="AO43" s="157">
        <v>115</v>
      </c>
      <c r="AP43" s="157">
        <f>AO43*$S43</f>
        <v>690</v>
      </c>
      <c r="AQ43" s="157">
        <v>10</v>
      </c>
      <c r="AR43" s="157">
        <f>AQ43*$S43</f>
        <v>60</v>
      </c>
      <c r="AS43" s="157">
        <v>10</v>
      </c>
      <c r="AT43" s="157">
        <f>AS43*$U43</f>
        <v>60</v>
      </c>
    </row>
    <row r="44" spans="2:46" ht="41.25" customHeight="1">
      <c r="B44" s="388"/>
      <c r="C44" s="434"/>
      <c r="D44" s="135" t="s">
        <v>114</v>
      </c>
      <c r="E44" s="55">
        <v>15</v>
      </c>
      <c r="F44" s="74">
        <f>1/365</f>
        <v>0.0027397260273972603</v>
      </c>
      <c r="G44" s="55" t="s">
        <v>96</v>
      </c>
      <c r="H44" s="54" t="s">
        <v>115</v>
      </c>
      <c r="I44" s="75">
        <v>30</v>
      </c>
      <c r="J44" s="75">
        <v>30</v>
      </c>
      <c r="K44" s="75">
        <v>30</v>
      </c>
      <c r="L44" s="67">
        <f>ROUND(E44/60*$L$2/147.7*F44,2)</f>
        <v>0.2</v>
      </c>
      <c r="M44" s="67">
        <v>1</v>
      </c>
      <c r="N44" s="67">
        <v>1</v>
      </c>
      <c r="O44" s="67">
        <v>1</v>
      </c>
      <c r="P44" s="67">
        <f>ROUND($L44*M44,2)</f>
        <v>0.2</v>
      </c>
      <c r="Q44" s="67">
        <f t="shared" si="21"/>
        <v>0.2</v>
      </c>
      <c r="R44" s="67">
        <f t="shared" si="21"/>
        <v>0.2</v>
      </c>
      <c r="S44" s="57">
        <f>P44*I44</f>
        <v>6</v>
      </c>
      <c r="T44" s="57">
        <f>Q44*J44</f>
        <v>6</v>
      </c>
      <c r="U44" s="57">
        <f>R44*K44</f>
        <v>6</v>
      </c>
      <c r="V44" s="57"/>
      <c r="W44" s="57">
        <f>V44*M44</f>
        <v>0</v>
      </c>
      <c r="X44" s="57">
        <f>V44*N44</f>
        <v>0</v>
      </c>
      <c r="Y44" s="57">
        <f>V44*O44</f>
        <v>0</v>
      </c>
      <c r="AA44" s="36"/>
      <c r="AB44" s="57"/>
      <c r="AC44" s="57"/>
      <c r="AD44" s="57"/>
      <c r="AE44" s="36">
        <f t="shared" si="6"/>
        <v>0</v>
      </c>
      <c r="AF44" s="34">
        <f t="shared" si="26"/>
        <v>0</v>
      </c>
      <c r="AG44" s="34">
        <f t="shared" si="7"/>
        <v>0</v>
      </c>
      <c r="AH44" s="34">
        <f t="shared" si="8"/>
        <v>0</v>
      </c>
      <c r="AI44" s="208">
        <f t="shared" si="9"/>
        <v>0</v>
      </c>
      <c r="AJ44" s="57">
        <f t="shared" si="10"/>
        <v>0</v>
      </c>
      <c r="AK44" s="57">
        <f t="shared" si="11"/>
        <v>0</v>
      </c>
      <c r="AL44" s="57">
        <f t="shared" si="12"/>
        <v>0</v>
      </c>
      <c r="AM44" s="159">
        <f>Z44*S44</f>
        <v>0</v>
      </c>
      <c r="AN44" s="159">
        <f>AA44*T44</f>
        <v>0</v>
      </c>
      <c r="AO44" s="159">
        <f>AE44*U44</f>
        <v>0</v>
      </c>
      <c r="AP44" s="159">
        <f>AM44*V44</f>
        <v>0</v>
      </c>
      <c r="AQ44" s="159">
        <f>AN44*W44</f>
        <v>0</v>
      </c>
      <c r="AR44" s="159">
        <f>AO44*X44</f>
        <v>0</v>
      </c>
      <c r="AS44" s="159">
        <f>AP44*Y44</f>
        <v>0</v>
      </c>
      <c r="AT44" s="159">
        <f>AQ44*Z44</f>
        <v>0</v>
      </c>
    </row>
    <row r="45" spans="2:46" ht="47.25" customHeight="1">
      <c r="B45" s="387" t="s">
        <v>116</v>
      </c>
      <c r="C45" s="387" t="s">
        <v>117</v>
      </c>
      <c r="D45" s="194"/>
      <c r="E45" s="9">
        <f>SUM(E46:E47)</f>
        <v>35</v>
      </c>
      <c r="F45" s="9">
        <f>SUM(F46:F47)</f>
        <v>0.008219178082191782</v>
      </c>
      <c r="G45" s="9"/>
      <c r="H45" s="26"/>
      <c r="I45" s="26"/>
      <c r="J45" s="26"/>
      <c r="K45" s="26"/>
      <c r="L45" s="64">
        <f>SUM(L46:L47)</f>
        <v>0.82</v>
      </c>
      <c r="M45" s="64">
        <v>1</v>
      </c>
      <c r="N45" s="64">
        <v>1</v>
      </c>
      <c r="O45" s="64">
        <v>1</v>
      </c>
      <c r="P45" s="64">
        <f t="shared" si="21"/>
        <v>0.82</v>
      </c>
      <c r="Q45" s="64">
        <f t="shared" si="21"/>
        <v>0.82</v>
      </c>
      <c r="R45" s="64">
        <f t="shared" si="21"/>
        <v>0.82</v>
      </c>
      <c r="S45" s="34">
        <f>SUM(S46:S47)</f>
        <v>24.6</v>
      </c>
      <c r="T45" s="34">
        <f>SUM(T46:T47)</f>
        <v>24.6</v>
      </c>
      <c r="U45" s="34">
        <f>SUM(U46:U47)</f>
        <v>24.6</v>
      </c>
      <c r="V45" s="34"/>
      <c r="W45" s="34">
        <f>SUM(W46:W47)</f>
        <v>0</v>
      </c>
      <c r="X45" s="34">
        <f>SUM(X46:X47)</f>
        <v>0</v>
      </c>
      <c r="Y45" s="34">
        <f>SUM(Y46:Y47)</f>
        <v>0</v>
      </c>
      <c r="AA45" s="36">
        <f>V45+L45</f>
        <v>0.82</v>
      </c>
      <c r="AB45" s="34">
        <f>W45+P45</f>
        <v>0.82</v>
      </c>
      <c r="AC45" s="34">
        <f>X45+Q45</f>
        <v>0.82</v>
      </c>
      <c r="AD45" s="34">
        <f>Y45+R45</f>
        <v>0.82</v>
      </c>
      <c r="AE45" s="36">
        <f t="shared" si="6"/>
        <v>0.18039999999999998</v>
      </c>
      <c r="AF45" s="34">
        <f t="shared" si="26"/>
        <v>0.328</v>
      </c>
      <c r="AG45" s="34">
        <f t="shared" si="7"/>
        <v>0.369</v>
      </c>
      <c r="AH45" s="34">
        <f t="shared" si="8"/>
        <v>0.18039999999999998</v>
      </c>
      <c r="AI45" s="208">
        <f t="shared" si="9"/>
        <v>1.0004</v>
      </c>
      <c r="AJ45" s="205">
        <f t="shared" si="10"/>
        <v>1.148</v>
      </c>
      <c r="AK45" s="205">
        <f t="shared" si="11"/>
        <v>1.189</v>
      </c>
      <c r="AL45" s="205">
        <f t="shared" si="12"/>
        <v>1.0004</v>
      </c>
      <c r="AM45" s="157">
        <v>567</v>
      </c>
      <c r="AN45" s="157">
        <f>AM45*AJ45</f>
        <v>650.9159999999999</v>
      </c>
      <c r="AO45" s="157">
        <v>115</v>
      </c>
      <c r="AP45" s="157">
        <f>AO45*$S45</f>
        <v>2829</v>
      </c>
      <c r="AQ45" s="157">
        <v>127</v>
      </c>
      <c r="AR45" s="157">
        <f>AQ45*$S45</f>
        <v>3124.2000000000003</v>
      </c>
      <c r="AS45" s="157">
        <v>120</v>
      </c>
      <c r="AT45" s="157">
        <f>AS45*$U45</f>
        <v>2952</v>
      </c>
    </row>
    <row r="46" spans="2:46" ht="42" customHeight="1">
      <c r="B46" s="388"/>
      <c r="C46" s="388"/>
      <c r="D46" s="195" t="s">
        <v>118</v>
      </c>
      <c r="E46" s="55">
        <v>5</v>
      </c>
      <c r="F46" s="74">
        <f>2/365</f>
        <v>0.005479452054794521</v>
      </c>
      <c r="G46" s="55" t="s">
        <v>96</v>
      </c>
      <c r="H46" s="54" t="s">
        <v>97</v>
      </c>
      <c r="I46" s="75">
        <v>30</v>
      </c>
      <c r="J46" s="75">
        <v>30</v>
      </c>
      <c r="K46" s="75">
        <v>30</v>
      </c>
      <c r="L46" s="67">
        <f>ROUND(E46/60*$L$2/147.7*F46,2)</f>
        <v>0.13</v>
      </c>
      <c r="M46" s="67">
        <v>1</v>
      </c>
      <c r="N46" s="67">
        <v>1</v>
      </c>
      <c r="O46" s="67">
        <v>1</v>
      </c>
      <c r="P46" s="67">
        <f t="shared" si="21"/>
        <v>0.13</v>
      </c>
      <c r="Q46" s="67">
        <f t="shared" si="21"/>
        <v>0.13</v>
      </c>
      <c r="R46" s="67">
        <f t="shared" si="21"/>
        <v>0.13</v>
      </c>
      <c r="S46" s="57">
        <f aca="true" t="shared" si="33" ref="S46:U47">P46*I46</f>
        <v>3.9000000000000004</v>
      </c>
      <c r="T46" s="57">
        <f t="shared" si="33"/>
        <v>3.9000000000000004</v>
      </c>
      <c r="U46" s="57">
        <f t="shared" si="33"/>
        <v>3.9000000000000004</v>
      </c>
      <c r="V46" s="57"/>
      <c r="W46" s="57">
        <f>V46*M46</f>
        <v>0</v>
      </c>
      <c r="X46" s="57">
        <f>V46*N46</f>
        <v>0</v>
      </c>
      <c r="Y46" s="57">
        <f>V46*O46</f>
        <v>0</v>
      </c>
      <c r="AA46" s="36"/>
      <c r="AB46" s="57"/>
      <c r="AC46" s="57"/>
      <c r="AD46" s="57"/>
      <c r="AE46" s="36">
        <f t="shared" si="6"/>
        <v>0</v>
      </c>
      <c r="AF46" s="34">
        <f t="shared" si="26"/>
        <v>0</v>
      </c>
      <c r="AG46" s="34">
        <f t="shared" si="7"/>
        <v>0</v>
      </c>
      <c r="AH46" s="34">
        <f t="shared" si="8"/>
        <v>0</v>
      </c>
      <c r="AI46" s="208">
        <f t="shared" si="9"/>
        <v>0</v>
      </c>
      <c r="AJ46" s="57">
        <f t="shared" si="10"/>
        <v>0</v>
      </c>
      <c r="AK46" s="57">
        <f t="shared" si="11"/>
        <v>0</v>
      </c>
      <c r="AL46" s="57">
        <f t="shared" si="12"/>
        <v>0</v>
      </c>
      <c r="AM46" s="159">
        <f>Z46*S46</f>
        <v>0</v>
      </c>
      <c r="AN46" s="159">
        <f>AA46*T46</f>
        <v>0</v>
      </c>
      <c r="AO46" s="159">
        <f>AE46*U46</f>
        <v>0</v>
      </c>
      <c r="AP46" s="159">
        <f aca="true" t="shared" si="34" ref="AP46:AT47">AM46*V46</f>
        <v>0</v>
      </c>
      <c r="AQ46" s="159">
        <f t="shared" si="34"/>
        <v>0</v>
      </c>
      <c r="AR46" s="159">
        <f t="shared" si="34"/>
        <v>0</v>
      </c>
      <c r="AS46" s="159">
        <f t="shared" si="34"/>
        <v>0</v>
      </c>
      <c r="AT46" s="159">
        <f t="shared" si="34"/>
        <v>0</v>
      </c>
    </row>
    <row r="47" spans="2:46" ht="48" customHeight="1">
      <c r="B47" s="388"/>
      <c r="C47" s="388"/>
      <c r="D47" s="193" t="s">
        <v>119</v>
      </c>
      <c r="E47" s="71">
        <v>30</v>
      </c>
      <c r="F47" s="74">
        <f>1/365</f>
        <v>0.0027397260273972603</v>
      </c>
      <c r="G47" s="71" t="s">
        <v>12</v>
      </c>
      <c r="H47" s="79" t="s">
        <v>12</v>
      </c>
      <c r="I47" s="75">
        <v>30</v>
      </c>
      <c r="J47" s="75">
        <v>30</v>
      </c>
      <c r="K47" s="75">
        <v>30</v>
      </c>
      <c r="L47" s="67">
        <f>ROUND(E47/60*$L$3/147.7*F47,2)</f>
        <v>0.69</v>
      </c>
      <c r="M47" s="67">
        <v>1</v>
      </c>
      <c r="N47" s="67">
        <v>1</v>
      </c>
      <c r="O47" s="67">
        <v>1</v>
      </c>
      <c r="P47" s="67">
        <f t="shared" si="21"/>
        <v>0.69</v>
      </c>
      <c r="Q47" s="67">
        <f t="shared" si="21"/>
        <v>0.69</v>
      </c>
      <c r="R47" s="67">
        <f t="shared" si="21"/>
        <v>0.69</v>
      </c>
      <c r="S47" s="57">
        <f t="shared" si="33"/>
        <v>20.7</v>
      </c>
      <c r="T47" s="57">
        <f t="shared" si="33"/>
        <v>20.7</v>
      </c>
      <c r="U47" s="57">
        <f t="shared" si="33"/>
        <v>20.7</v>
      </c>
      <c r="V47" s="57"/>
      <c r="W47" s="57">
        <f>V47*M47</f>
        <v>0</v>
      </c>
      <c r="X47" s="57">
        <f>V47*N47</f>
        <v>0</v>
      </c>
      <c r="Y47" s="57">
        <f>V47*O47</f>
        <v>0</v>
      </c>
      <c r="AA47" s="36"/>
      <c r="AB47" s="57"/>
      <c r="AC47" s="57"/>
      <c r="AD47" s="57"/>
      <c r="AE47" s="36">
        <f t="shared" si="6"/>
        <v>0</v>
      </c>
      <c r="AF47" s="34">
        <f t="shared" si="26"/>
        <v>0</v>
      </c>
      <c r="AG47" s="34">
        <f t="shared" si="7"/>
        <v>0</v>
      </c>
      <c r="AH47" s="34">
        <f t="shared" si="8"/>
        <v>0</v>
      </c>
      <c r="AI47" s="208">
        <f t="shared" si="9"/>
        <v>0</v>
      </c>
      <c r="AJ47" s="57">
        <f t="shared" si="10"/>
        <v>0</v>
      </c>
      <c r="AK47" s="57">
        <f t="shared" si="11"/>
        <v>0</v>
      </c>
      <c r="AL47" s="57">
        <f t="shared" si="12"/>
        <v>0</v>
      </c>
      <c r="AM47" s="159">
        <f>Z47*S47</f>
        <v>0</v>
      </c>
      <c r="AN47" s="159">
        <f>AA47*T47</f>
        <v>0</v>
      </c>
      <c r="AO47" s="159">
        <f>AE47*U47</f>
        <v>0</v>
      </c>
      <c r="AP47" s="159">
        <f t="shared" si="34"/>
        <v>0</v>
      </c>
      <c r="AQ47" s="159">
        <f t="shared" si="34"/>
        <v>0</v>
      </c>
      <c r="AR47" s="159">
        <f t="shared" si="34"/>
        <v>0</v>
      </c>
      <c r="AS47" s="159">
        <f t="shared" si="34"/>
        <v>0</v>
      </c>
      <c r="AT47" s="159">
        <f t="shared" si="34"/>
        <v>0</v>
      </c>
    </row>
    <row r="48" spans="2:46" ht="48" customHeight="1">
      <c r="B48" s="387" t="s">
        <v>120</v>
      </c>
      <c r="C48" s="426" t="s">
        <v>121</v>
      </c>
      <c r="D48" s="191"/>
      <c r="E48" s="9">
        <f>SUM(E49:E52)</f>
        <v>85</v>
      </c>
      <c r="F48" s="9">
        <f>SUM(F49:F52)</f>
        <v>0.01933028919330289</v>
      </c>
      <c r="G48" s="9"/>
      <c r="H48" s="26"/>
      <c r="I48" s="41"/>
      <c r="J48" s="41"/>
      <c r="K48" s="41"/>
      <c r="L48" s="64">
        <f>SUM(L49:L52)</f>
        <v>3.37</v>
      </c>
      <c r="M48" s="64">
        <f>SUM(M49:M52)</f>
        <v>5</v>
      </c>
      <c r="N48" s="64">
        <f>SUM(N49:N52)</f>
        <v>4</v>
      </c>
      <c r="O48" s="64">
        <f>SUM(O49:O52)</f>
        <v>4</v>
      </c>
      <c r="P48" s="64">
        <f t="shared" si="21"/>
        <v>16.85</v>
      </c>
      <c r="Q48" s="64">
        <f t="shared" si="21"/>
        <v>13.48</v>
      </c>
      <c r="R48" s="64">
        <f t="shared" si="21"/>
        <v>13.48</v>
      </c>
      <c r="S48" s="80">
        <f>SUM(S49:S52)</f>
        <v>114.9</v>
      </c>
      <c r="T48" s="80">
        <f>SUM(T49:T52)</f>
        <v>101.10000000000001</v>
      </c>
      <c r="U48" s="80">
        <f>SUM(U49:U52)</f>
        <v>101.10000000000001</v>
      </c>
      <c r="V48" s="80"/>
      <c r="W48" s="34">
        <f>SUM(W49:W52)</f>
        <v>0</v>
      </c>
      <c r="X48" s="34">
        <f>SUM(X49:X52)</f>
        <v>0</v>
      </c>
      <c r="Y48" s="34">
        <f>SUM(Y49:Y52)</f>
        <v>0</v>
      </c>
      <c r="AA48" s="81">
        <f>V48+L48</f>
        <v>3.37</v>
      </c>
      <c r="AB48" s="80">
        <f>SUM(AB49:AB52)</f>
        <v>3.83</v>
      </c>
      <c r="AC48" s="80">
        <f>SUM(AC49:AC52)</f>
        <v>3.37</v>
      </c>
      <c r="AD48" s="80">
        <f>SUM(AD49:AD52)</f>
        <v>3.37</v>
      </c>
      <c r="AE48" s="36">
        <f t="shared" si="6"/>
        <v>0.7414000000000001</v>
      </c>
      <c r="AF48" s="34">
        <f t="shared" si="26"/>
        <v>1.532</v>
      </c>
      <c r="AG48" s="34">
        <f t="shared" si="7"/>
        <v>1.5165000000000002</v>
      </c>
      <c r="AH48" s="34">
        <f t="shared" si="8"/>
        <v>0.7414000000000001</v>
      </c>
      <c r="AI48" s="208">
        <f t="shared" si="9"/>
        <v>4.1114</v>
      </c>
      <c r="AJ48" s="205">
        <f t="shared" si="10"/>
        <v>5.362</v>
      </c>
      <c r="AK48" s="205">
        <f t="shared" si="11"/>
        <v>4.8865</v>
      </c>
      <c r="AL48" s="205">
        <f t="shared" si="12"/>
        <v>4.1114</v>
      </c>
      <c r="AM48" s="161">
        <v>567</v>
      </c>
      <c r="AN48" s="157">
        <f>AM48*AJ48</f>
        <v>3040.254</v>
      </c>
      <c r="AO48" s="161">
        <v>115</v>
      </c>
      <c r="AP48" s="161">
        <f>AO48*$S48</f>
        <v>13213.5</v>
      </c>
      <c r="AQ48" s="161">
        <v>127</v>
      </c>
      <c r="AR48" s="161">
        <f>AQ48*$S48</f>
        <v>14592.300000000001</v>
      </c>
      <c r="AS48" s="161">
        <v>120</v>
      </c>
      <c r="AT48" s="161">
        <f>AS48*$U48</f>
        <v>12132.000000000002</v>
      </c>
    </row>
    <row r="49" spans="2:46" ht="44.25" customHeight="1">
      <c r="B49" s="388"/>
      <c r="C49" s="427"/>
      <c r="D49" s="135" t="s">
        <v>122</v>
      </c>
      <c r="E49" s="55">
        <v>20</v>
      </c>
      <c r="F49" s="74">
        <f>1/365</f>
        <v>0.0027397260273972603</v>
      </c>
      <c r="G49" s="55" t="s">
        <v>12</v>
      </c>
      <c r="H49" s="54" t="s">
        <v>123</v>
      </c>
      <c r="I49" s="82">
        <v>30</v>
      </c>
      <c r="J49" s="82">
        <v>30</v>
      </c>
      <c r="K49" s="82">
        <v>30</v>
      </c>
      <c r="L49" s="67">
        <f>ROUND(E49/60*$L$3/147.7*F49,2)</f>
        <v>0.46</v>
      </c>
      <c r="M49" s="67">
        <v>2</v>
      </c>
      <c r="N49" s="67">
        <v>1</v>
      </c>
      <c r="O49" s="67">
        <v>1</v>
      </c>
      <c r="P49" s="67">
        <f t="shared" si="21"/>
        <v>0.92</v>
      </c>
      <c r="Q49" s="67">
        <f t="shared" si="21"/>
        <v>0.46</v>
      </c>
      <c r="R49" s="67">
        <f t="shared" si="21"/>
        <v>0.46</v>
      </c>
      <c r="S49" s="57">
        <f aca="true" t="shared" si="35" ref="S49:U54">P49*I49</f>
        <v>27.6</v>
      </c>
      <c r="T49" s="57">
        <f t="shared" si="35"/>
        <v>13.8</v>
      </c>
      <c r="U49" s="57">
        <f t="shared" si="35"/>
        <v>13.8</v>
      </c>
      <c r="V49" s="57"/>
      <c r="W49" s="57">
        <f aca="true" t="shared" si="36" ref="W49:W54">V49*M49</f>
        <v>0</v>
      </c>
      <c r="X49" s="57">
        <f aca="true" t="shared" si="37" ref="X49:X54">V49*N49</f>
        <v>0</v>
      </c>
      <c r="Y49" s="57">
        <f aca="true" t="shared" si="38" ref="Y49:Y54">V49*O49</f>
        <v>0</v>
      </c>
      <c r="AA49" s="36"/>
      <c r="AB49" s="57">
        <f aca="true" t="shared" si="39" ref="AB49:AD52">W49+P49</f>
        <v>0.92</v>
      </c>
      <c r="AC49" s="57">
        <f t="shared" si="39"/>
        <v>0.46</v>
      </c>
      <c r="AD49" s="57">
        <f t="shared" si="39"/>
        <v>0.46</v>
      </c>
      <c r="AE49" s="36">
        <f t="shared" si="6"/>
        <v>0</v>
      </c>
      <c r="AF49" s="34">
        <f t="shared" si="26"/>
        <v>0.36800000000000005</v>
      </c>
      <c r="AG49" s="34">
        <f t="shared" si="7"/>
        <v>0.20700000000000002</v>
      </c>
      <c r="AH49" s="34">
        <f t="shared" si="8"/>
        <v>0.1012</v>
      </c>
      <c r="AI49" s="208">
        <f t="shared" si="9"/>
        <v>0</v>
      </c>
      <c r="AJ49" s="57">
        <f t="shared" si="10"/>
        <v>1.288</v>
      </c>
      <c r="AK49" s="57">
        <f t="shared" si="11"/>
        <v>0.667</v>
      </c>
      <c r="AL49" s="57">
        <f t="shared" si="12"/>
        <v>0.5612</v>
      </c>
      <c r="AM49" s="159">
        <f aca="true" t="shared" si="40" ref="AM49:AN52">Z49*S49</f>
        <v>0</v>
      </c>
      <c r="AN49" s="159">
        <f t="shared" si="40"/>
        <v>0</v>
      </c>
      <c r="AO49" s="159">
        <f>AE49*U49</f>
        <v>0</v>
      </c>
      <c r="AP49" s="159">
        <f aca="true" t="shared" si="41" ref="AP49:AT52">AM49*V49</f>
        <v>0</v>
      </c>
      <c r="AQ49" s="159">
        <f t="shared" si="41"/>
        <v>0</v>
      </c>
      <c r="AR49" s="159">
        <f t="shared" si="41"/>
        <v>0</v>
      </c>
      <c r="AS49" s="159">
        <f t="shared" si="41"/>
        <v>0</v>
      </c>
      <c r="AT49" s="159">
        <f t="shared" si="41"/>
        <v>0</v>
      </c>
    </row>
    <row r="50" spans="2:46" ht="48" customHeight="1">
      <c r="B50" s="388"/>
      <c r="C50" s="427"/>
      <c r="D50" s="135" t="s">
        <v>124</v>
      </c>
      <c r="E50" s="55">
        <v>20</v>
      </c>
      <c r="F50" s="74">
        <f>1/90</f>
        <v>0.011111111111111112</v>
      </c>
      <c r="G50" s="55" t="s">
        <v>12</v>
      </c>
      <c r="H50" s="54" t="s">
        <v>102</v>
      </c>
      <c r="I50" s="75">
        <v>30</v>
      </c>
      <c r="J50" s="75">
        <v>30</v>
      </c>
      <c r="K50" s="75">
        <v>30</v>
      </c>
      <c r="L50" s="67">
        <f>ROUND(E50/60*$L$3/147.7*F50,2)</f>
        <v>1.87</v>
      </c>
      <c r="M50" s="67">
        <v>1</v>
      </c>
      <c r="N50" s="67">
        <v>1</v>
      </c>
      <c r="O50" s="67">
        <v>1</v>
      </c>
      <c r="P50" s="67">
        <f t="shared" si="21"/>
        <v>1.87</v>
      </c>
      <c r="Q50" s="67">
        <f t="shared" si="21"/>
        <v>1.87</v>
      </c>
      <c r="R50" s="67">
        <f t="shared" si="21"/>
        <v>1.87</v>
      </c>
      <c r="S50" s="57">
        <f t="shared" si="35"/>
        <v>56.1</v>
      </c>
      <c r="T50" s="57">
        <f t="shared" si="35"/>
        <v>56.1</v>
      </c>
      <c r="U50" s="57">
        <f t="shared" si="35"/>
        <v>56.1</v>
      </c>
      <c r="V50" s="57"/>
      <c r="W50" s="57">
        <f t="shared" si="36"/>
        <v>0</v>
      </c>
      <c r="X50" s="57">
        <f t="shared" si="37"/>
        <v>0</v>
      </c>
      <c r="Y50" s="57">
        <f t="shared" si="38"/>
        <v>0</v>
      </c>
      <c r="AA50" s="36"/>
      <c r="AB50" s="57">
        <f t="shared" si="39"/>
        <v>1.87</v>
      </c>
      <c r="AC50" s="57">
        <f t="shared" si="39"/>
        <v>1.87</v>
      </c>
      <c r="AD50" s="57">
        <f t="shared" si="39"/>
        <v>1.87</v>
      </c>
      <c r="AE50" s="36">
        <f t="shared" si="6"/>
        <v>0</v>
      </c>
      <c r="AF50" s="34">
        <f t="shared" si="26"/>
        <v>0.7480000000000001</v>
      </c>
      <c r="AG50" s="34">
        <f t="shared" si="7"/>
        <v>0.8415</v>
      </c>
      <c r="AH50" s="34">
        <f t="shared" si="8"/>
        <v>0.41140000000000004</v>
      </c>
      <c r="AI50" s="208">
        <f t="shared" si="9"/>
        <v>0</v>
      </c>
      <c r="AJ50" s="57">
        <f t="shared" si="10"/>
        <v>2.6180000000000003</v>
      </c>
      <c r="AK50" s="57">
        <f t="shared" si="11"/>
        <v>2.7115</v>
      </c>
      <c r="AL50" s="57">
        <f t="shared" si="12"/>
        <v>2.2814</v>
      </c>
      <c r="AM50" s="159">
        <f t="shared" si="40"/>
        <v>0</v>
      </c>
      <c r="AN50" s="159">
        <f t="shared" si="40"/>
        <v>0</v>
      </c>
      <c r="AO50" s="159">
        <f>AE50*U50</f>
        <v>0</v>
      </c>
      <c r="AP50" s="159">
        <f t="shared" si="41"/>
        <v>0</v>
      </c>
      <c r="AQ50" s="159">
        <f t="shared" si="41"/>
        <v>0</v>
      </c>
      <c r="AR50" s="159">
        <f t="shared" si="41"/>
        <v>0</v>
      </c>
      <c r="AS50" s="159">
        <f t="shared" si="41"/>
        <v>0</v>
      </c>
      <c r="AT50" s="159">
        <f t="shared" si="41"/>
        <v>0</v>
      </c>
    </row>
    <row r="51" spans="2:46" ht="39.75" customHeight="1">
      <c r="B51" s="388"/>
      <c r="C51" s="427"/>
      <c r="D51" s="135" t="s">
        <v>125</v>
      </c>
      <c r="E51" s="55">
        <v>10</v>
      </c>
      <c r="F51" s="74">
        <f>1/365</f>
        <v>0.0027397260273972603</v>
      </c>
      <c r="G51" s="55" t="s">
        <v>12</v>
      </c>
      <c r="H51" s="54" t="s">
        <v>126</v>
      </c>
      <c r="I51" s="75">
        <v>30</v>
      </c>
      <c r="J51" s="75">
        <v>30</v>
      </c>
      <c r="K51" s="75">
        <v>30</v>
      </c>
      <c r="L51" s="67">
        <f>ROUND(E51/60*$L$3/147.7*F51,2)</f>
        <v>0.23</v>
      </c>
      <c r="M51" s="67">
        <v>1</v>
      </c>
      <c r="N51" s="67">
        <v>1</v>
      </c>
      <c r="O51" s="67">
        <v>1</v>
      </c>
      <c r="P51" s="67">
        <f t="shared" si="21"/>
        <v>0.23</v>
      </c>
      <c r="Q51" s="67">
        <f t="shared" si="21"/>
        <v>0.23</v>
      </c>
      <c r="R51" s="67">
        <f t="shared" si="21"/>
        <v>0.23</v>
      </c>
      <c r="S51" s="57">
        <f t="shared" si="35"/>
        <v>6.9</v>
      </c>
      <c r="T51" s="57">
        <f t="shared" si="35"/>
        <v>6.9</v>
      </c>
      <c r="U51" s="57">
        <f t="shared" si="35"/>
        <v>6.9</v>
      </c>
      <c r="V51" s="57"/>
      <c r="W51" s="57">
        <f t="shared" si="36"/>
        <v>0</v>
      </c>
      <c r="X51" s="57">
        <f t="shared" si="37"/>
        <v>0</v>
      </c>
      <c r="Y51" s="57">
        <f t="shared" si="38"/>
        <v>0</v>
      </c>
      <c r="AA51" s="36"/>
      <c r="AB51" s="57">
        <f t="shared" si="39"/>
        <v>0.23</v>
      </c>
      <c r="AC51" s="57">
        <f t="shared" si="39"/>
        <v>0.23</v>
      </c>
      <c r="AD51" s="57">
        <f t="shared" si="39"/>
        <v>0.23</v>
      </c>
      <c r="AE51" s="36">
        <f t="shared" si="6"/>
        <v>0</v>
      </c>
      <c r="AF51" s="34">
        <f t="shared" si="26"/>
        <v>0.09200000000000001</v>
      </c>
      <c r="AG51" s="34">
        <f t="shared" si="7"/>
        <v>0.10350000000000001</v>
      </c>
      <c r="AH51" s="34">
        <f t="shared" si="8"/>
        <v>0.0506</v>
      </c>
      <c r="AI51" s="208">
        <f t="shared" si="9"/>
        <v>0</v>
      </c>
      <c r="AJ51" s="57">
        <f t="shared" si="10"/>
        <v>0.322</v>
      </c>
      <c r="AK51" s="57">
        <f t="shared" si="11"/>
        <v>0.3335</v>
      </c>
      <c r="AL51" s="57">
        <f t="shared" si="12"/>
        <v>0.2806</v>
      </c>
      <c r="AM51" s="159">
        <f t="shared" si="40"/>
        <v>0</v>
      </c>
      <c r="AN51" s="159">
        <f t="shared" si="40"/>
        <v>0</v>
      </c>
      <c r="AO51" s="159">
        <f>AE51*U51</f>
        <v>0</v>
      </c>
      <c r="AP51" s="159">
        <f t="shared" si="41"/>
        <v>0</v>
      </c>
      <c r="AQ51" s="159">
        <f t="shared" si="41"/>
        <v>0</v>
      </c>
      <c r="AR51" s="159">
        <f t="shared" si="41"/>
        <v>0</v>
      </c>
      <c r="AS51" s="159">
        <f t="shared" si="41"/>
        <v>0</v>
      </c>
      <c r="AT51" s="159">
        <f t="shared" si="41"/>
        <v>0</v>
      </c>
    </row>
    <row r="52" spans="2:46" ht="57.75" customHeight="1">
      <c r="B52" s="389"/>
      <c r="C52" s="428"/>
      <c r="D52" s="135" t="s">
        <v>127</v>
      </c>
      <c r="E52" s="55">
        <v>35</v>
      </c>
      <c r="F52" s="74">
        <f>1/365</f>
        <v>0.0027397260273972603</v>
      </c>
      <c r="G52" s="55" t="s">
        <v>12</v>
      </c>
      <c r="H52" s="54" t="s">
        <v>123</v>
      </c>
      <c r="I52" s="75">
        <v>30</v>
      </c>
      <c r="J52" s="75">
        <v>30</v>
      </c>
      <c r="K52" s="75">
        <v>30</v>
      </c>
      <c r="L52" s="67">
        <f>ROUND(E52/60*$L$3/147.7*F52,2)</f>
        <v>0.81</v>
      </c>
      <c r="M52" s="67">
        <v>1</v>
      </c>
      <c r="N52" s="67">
        <v>1</v>
      </c>
      <c r="O52" s="67">
        <v>1</v>
      </c>
      <c r="P52" s="67">
        <f>ROUND($L52*M52,2)</f>
        <v>0.81</v>
      </c>
      <c r="Q52" s="67">
        <f t="shared" si="21"/>
        <v>0.81</v>
      </c>
      <c r="R52" s="67">
        <f t="shared" si="21"/>
        <v>0.81</v>
      </c>
      <c r="S52" s="57">
        <f t="shared" si="35"/>
        <v>24.3</v>
      </c>
      <c r="T52" s="57">
        <f t="shared" si="35"/>
        <v>24.3</v>
      </c>
      <c r="U52" s="57">
        <f t="shared" si="35"/>
        <v>24.3</v>
      </c>
      <c r="V52" s="57"/>
      <c r="W52" s="57">
        <f t="shared" si="36"/>
        <v>0</v>
      </c>
      <c r="X52" s="57">
        <f t="shared" si="37"/>
        <v>0</v>
      </c>
      <c r="Y52" s="57">
        <f t="shared" si="38"/>
        <v>0</v>
      </c>
      <c r="AA52" s="36"/>
      <c r="AB52" s="57">
        <f t="shared" si="39"/>
        <v>0.81</v>
      </c>
      <c r="AC52" s="57">
        <f t="shared" si="39"/>
        <v>0.81</v>
      </c>
      <c r="AD52" s="57">
        <f t="shared" si="39"/>
        <v>0.81</v>
      </c>
      <c r="AE52" s="36">
        <f t="shared" si="6"/>
        <v>0</v>
      </c>
      <c r="AF52" s="34">
        <f t="shared" si="26"/>
        <v>0.32400000000000007</v>
      </c>
      <c r="AG52" s="34">
        <f t="shared" si="7"/>
        <v>0.36450000000000005</v>
      </c>
      <c r="AH52" s="34">
        <f t="shared" si="8"/>
        <v>0.17820000000000003</v>
      </c>
      <c r="AI52" s="208">
        <f t="shared" si="9"/>
        <v>0</v>
      </c>
      <c r="AJ52" s="57">
        <f t="shared" si="10"/>
        <v>1.1340000000000001</v>
      </c>
      <c r="AK52" s="57">
        <f t="shared" si="11"/>
        <v>1.1745</v>
      </c>
      <c r="AL52" s="57">
        <f t="shared" si="12"/>
        <v>0.9882000000000001</v>
      </c>
      <c r="AM52" s="159">
        <f t="shared" si="40"/>
        <v>0</v>
      </c>
      <c r="AN52" s="159">
        <f t="shared" si="40"/>
        <v>0</v>
      </c>
      <c r="AO52" s="159">
        <f>AE52*U52</f>
        <v>0</v>
      </c>
      <c r="AP52" s="159">
        <f t="shared" si="41"/>
        <v>0</v>
      </c>
      <c r="AQ52" s="159">
        <f t="shared" si="41"/>
        <v>0</v>
      </c>
      <c r="AR52" s="159">
        <f t="shared" si="41"/>
        <v>0</v>
      </c>
      <c r="AS52" s="159">
        <f t="shared" si="41"/>
        <v>0</v>
      </c>
      <c r="AT52" s="159">
        <f t="shared" si="41"/>
        <v>0</v>
      </c>
    </row>
    <row r="53" spans="2:46" ht="60" customHeight="1">
      <c r="B53" s="26" t="s">
        <v>128</v>
      </c>
      <c r="C53" s="40" t="s">
        <v>129</v>
      </c>
      <c r="D53" s="25" t="s">
        <v>130</v>
      </c>
      <c r="E53" s="83">
        <v>8</v>
      </c>
      <c r="F53" s="84">
        <f>20/30</f>
        <v>0.6666666666666666</v>
      </c>
      <c r="G53" s="83" t="s">
        <v>96</v>
      </c>
      <c r="H53" s="85" t="s">
        <v>97</v>
      </c>
      <c r="I53" s="42">
        <v>0</v>
      </c>
      <c r="J53" s="42">
        <v>30</v>
      </c>
      <c r="K53" s="42">
        <v>0</v>
      </c>
      <c r="L53" s="64">
        <f>ROUND(E53/60*$L$2/147.7*F53,2)</f>
        <v>26.12</v>
      </c>
      <c r="M53" s="33">
        <v>0</v>
      </c>
      <c r="N53" s="33">
        <v>1</v>
      </c>
      <c r="O53" s="33">
        <v>0</v>
      </c>
      <c r="P53" s="33">
        <f>ROUND($L53*M53,2)</f>
        <v>0</v>
      </c>
      <c r="Q53" s="33">
        <f t="shared" si="21"/>
        <v>26.12</v>
      </c>
      <c r="R53" s="33">
        <f t="shared" si="21"/>
        <v>0</v>
      </c>
      <c r="S53" s="34">
        <f t="shared" si="35"/>
        <v>0</v>
      </c>
      <c r="T53" s="34">
        <f t="shared" si="35"/>
        <v>783.6</v>
      </c>
      <c r="U53" s="34">
        <f t="shared" si="35"/>
        <v>0</v>
      </c>
      <c r="V53" s="34"/>
      <c r="W53" s="34">
        <f t="shared" si="36"/>
        <v>0</v>
      </c>
      <c r="X53" s="34">
        <f t="shared" si="37"/>
        <v>0</v>
      </c>
      <c r="Y53" s="34">
        <f t="shared" si="38"/>
        <v>0</v>
      </c>
      <c r="AA53" s="36">
        <f>V53+L53</f>
        <v>26.12</v>
      </c>
      <c r="AB53" s="34">
        <f aca="true" t="shared" si="42" ref="AB53:AD54">W53+P53</f>
        <v>0</v>
      </c>
      <c r="AC53" s="34">
        <f t="shared" si="42"/>
        <v>26.12</v>
      </c>
      <c r="AD53" s="34">
        <f t="shared" si="42"/>
        <v>0</v>
      </c>
      <c r="AE53" s="36">
        <f t="shared" si="6"/>
        <v>5.7464</v>
      </c>
      <c r="AF53" s="34">
        <f t="shared" si="26"/>
        <v>0</v>
      </c>
      <c r="AG53" s="34">
        <f t="shared" si="7"/>
        <v>11.754000000000001</v>
      </c>
      <c r="AH53" s="34">
        <f t="shared" si="8"/>
        <v>0</v>
      </c>
      <c r="AI53" s="208">
        <f t="shared" si="9"/>
        <v>31.866400000000002</v>
      </c>
      <c r="AJ53" s="205">
        <f t="shared" si="10"/>
        <v>0</v>
      </c>
      <c r="AK53" s="205">
        <f t="shared" si="11"/>
        <v>37.874</v>
      </c>
      <c r="AL53" s="205">
        <f t="shared" si="12"/>
        <v>0</v>
      </c>
      <c r="AM53" s="157"/>
      <c r="AN53" s="157">
        <f>AM53*AJ53</f>
        <v>0</v>
      </c>
      <c r="AO53" s="157"/>
      <c r="AP53" s="157">
        <f aca="true" t="shared" si="43" ref="AP53:AR54">AO53*$S53</f>
        <v>0</v>
      </c>
      <c r="AQ53" s="157">
        <v>0</v>
      </c>
      <c r="AR53" s="157">
        <f t="shared" si="43"/>
        <v>0</v>
      </c>
      <c r="AS53" s="157">
        <v>120</v>
      </c>
      <c r="AT53" s="157">
        <f>AS53*$U53</f>
        <v>0</v>
      </c>
    </row>
    <row r="54" spans="2:46" ht="114.75" customHeight="1">
      <c r="B54" s="26" t="s">
        <v>131</v>
      </c>
      <c r="C54" s="86" t="s">
        <v>132</v>
      </c>
      <c r="D54" s="87" t="s">
        <v>133</v>
      </c>
      <c r="E54" s="88">
        <v>25</v>
      </c>
      <c r="F54" s="84">
        <f>4/30</f>
        <v>0.13333333333333333</v>
      </c>
      <c r="G54" s="88" t="s">
        <v>96</v>
      </c>
      <c r="H54" s="41" t="s">
        <v>134</v>
      </c>
      <c r="I54" s="41">
        <v>30</v>
      </c>
      <c r="J54" s="41">
        <v>30</v>
      </c>
      <c r="K54" s="41">
        <v>30</v>
      </c>
      <c r="L54" s="64">
        <f>ROUND(E54/60*$L$2/147.7*F54,2)</f>
        <v>16.33</v>
      </c>
      <c r="M54" s="33">
        <v>5</v>
      </c>
      <c r="N54" s="33">
        <v>1</v>
      </c>
      <c r="O54" s="33">
        <v>7</v>
      </c>
      <c r="P54" s="33">
        <f>ROUND($L54*M54,2)</f>
        <v>81.65</v>
      </c>
      <c r="Q54" s="33">
        <f t="shared" si="21"/>
        <v>16.33</v>
      </c>
      <c r="R54" s="33">
        <f t="shared" si="21"/>
        <v>114.31</v>
      </c>
      <c r="S54" s="34">
        <f t="shared" si="35"/>
        <v>2449.5</v>
      </c>
      <c r="T54" s="34">
        <f t="shared" si="35"/>
        <v>489.9</v>
      </c>
      <c r="U54" s="34">
        <f t="shared" si="35"/>
        <v>3429.3</v>
      </c>
      <c r="V54" s="34"/>
      <c r="W54" s="34">
        <f t="shared" si="36"/>
        <v>0</v>
      </c>
      <c r="X54" s="34">
        <f t="shared" si="37"/>
        <v>0</v>
      </c>
      <c r="Y54" s="34">
        <f t="shared" si="38"/>
        <v>0</v>
      </c>
      <c r="AA54" s="36">
        <f>V54+L54</f>
        <v>16.33</v>
      </c>
      <c r="AB54" s="34">
        <f t="shared" si="42"/>
        <v>81.65</v>
      </c>
      <c r="AC54" s="34">
        <f t="shared" si="42"/>
        <v>16.33</v>
      </c>
      <c r="AD54" s="34">
        <f t="shared" si="42"/>
        <v>114.31</v>
      </c>
      <c r="AE54" s="36">
        <f t="shared" si="6"/>
        <v>3.5925999999999996</v>
      </c>
      <c r="AF54" s="34">
        <f t="shared" si="26"/>
        <v>32.660000000000004</v>
      </c>
      <c r="AG54" s="34">
        <f t="shared" si="7"/>
        <v>7.3485</v>
      </c>
      <c r="AH54" s="34">
        <f t="shared" si="8"/>
        <v>25.1482</v>
      </c>
      <c r="AI54" s="208">
        <f t="shared" si="9"/>
        <v>19.9226</v>
      </c>
      <c r="AJ54" s="205">
        <f t="shared" si="10"/>
        <v>114.31</v>
      </c>
      <c r="AK54" s="205">
        <f t="shared" si="11"/>
        <v>23.6785</v>
      </c>
      <c r="AL54" s="205">
        <f t="shared" si="12"/>
        <v>139.4582</v>
      </c>
      <c r="AM54" s="157">
        <v>567</v>
      </c>
      <c r="AN54" s="157">
        <f>AM54*AJ54</f>
        <v>64813.770000000004</v>
      </c>
      <c r="AO54" s="157">
        <v>115</v>
      </c>
      <c r="AP54" s="157">
        <f t="shared" si="43"/>
        <v>281692.5</v>
      </c>
      <c r="AQ54" s="157">
        <v>127</v>
      </c>
      <c r="AR54" s="157">
        <f t="shared" si="43"/>
        <v>311086.5</v>
      </c>
      <c r="AS54" s="157">
        <v>120</v>
      </c>
      <c r="AT54" s="157">
        <f>AS54*$U54</f>
        <v>411516</v>
      </c>
    </row>
    <row r="55" spans="2:46" ht="21" customHeight="1">
      <c r="B55" s="16" t="s">
        <v>135</v>
      </c>
      <c r="C55" s="17"/>
      <c r="D55" s="190"/>
      <c r="E55" s="18"/>
      <c r="F55" s="18"/>
      <c r="G55" s="22" t="e">
        <f aca="true" t="shared" si="44" ref="G55:R55">G56+G57</f>
        <v>#VALUE!</v>
      </c>
      <c r="H55" s="22" t="e">
        <f t="shared" si="44"/>
        <v>#VALUE!</v>
      </c>
      <c r="I55" s="22">
        <f t="shared" si="44"/>
        <v>60</v>
      </c>
      <c r="J55" s="22">
        <f t="shared" si="44"/>
        <v>60</v>
      </c>
      <c r="K55" s="22">
        <f t="shared" si="44"/>
        <v>60</v>
      </c>
      <c r="L55" s="22">
        <f t="shared" si="44"/>
        <v>5.949999999999999</v>
      </c>
      <c r="M55" s="22">
        <f t="shared" si="44"/>
        <v>2</v>
      </c>
      <c r="N55" s="22">
        <f t="shared" si="44"/>
        <v>2</v>
      </c>
      <c r="O55" s="22">
        <f t="shared" si="44"/>
        <v>3</v>
      </c>
      <c r="P55" s="22">
        <f t="shared" si="44"/>
        <v>5.949999999999999</v>
      </c>
      <c r="Q55" s="22">
        <f t="shared" si="44"/>
        <v>5.949999999999999</v>
      </c>
      <c r="R55" s="22">
        <f t="shared" si="44"/>
        <v>16.24</v>
      </c>
      <c r="S55" s="22">
        <f>S56+S57</f>
        <v>178.5</v>
      </c>
      <c r="T55" s="22">
        <f aca="true" t="shared" si="45" ref="T55:AL55">T56+T57</f>
        <v>178.5</v>
      </c>
      <c r="U55" s="22">
        <f t="shared" si="45"/>
        <v>487.2</v>
      </c>
      <c r="V55" s="22"/>
      <c r="W55" s="22">
        <f t="shared" si="45"/>
        <v>0</v>
      </c>
      <c r="X55" s="22">
        <f t="shared" si="45"/>
        <v>0</v>
      </c>
      <c r="Y55" s="22">
        <f t="shared" si="45"/>
        <v>0</v>
      </c>
      <c r="Z55" s="22"/>
      <c r="AA55" s="22">
        <f t="shared" si="45"/>
        <v>5.949999999999999</v>
      </c>
      <c r="AB55" s="22">
        <f t="shared" si="45"/>
        <v>5.949999999999999</v>
      </c>
      <c r="AC55" s="22">
        <f t="shared" si="45"/>
        <v>5.949999999999999</v>
      </c>
      <c r="AD55" s="22">
        <f>AD56+AD57</f>
        <v>16.24</v>
      </c>
      <c r="AE55" s="22">
        <f>AE56+AE57</f>
        <v>1.309</v>
      </c>
      <c r="AF55" s="22">
        <f t="shared" si="45"/>
        <v>2.38</v>
      </c>
      <c r="AG55" s="34">
        <f t="shared" si="7"/>
        <v>2.6774999999999998</v>
      </c>
      <c r="AH55" s="34">
        <f t="shared" si="8"/>
        <v>3.5727999999999995</v>
      </c>
      <c r="AI55" s="22">
        <f t="shared" si="45"/>
        <v>7.2589999999999995</v>
      </c>
      <c r="AJ55" s="22">
        <f>AJ56+AJ57</f>
        <v>8.33</v>
      </c>
      <c r="AK55" s="22">
        <f t="shared" si="45"/>
        <v>8.6275</v>
      </c>
      <c r="AL55" s="22">
        <f t="shared" si="45"/>
        <v>19.8128</v>
      </c>
      <c r="AM55" s="160">
        <f aca="true" t="shared" si="46" ref="AM55:AT55">AM56+AM57</f>
        <v>1134</v>
      </c>
      <c r="AN55" s="160">
        <f t="shared" si="46"/>
        <v>4723.11</v>
      </c>
      <c r="AO55" s="160">
        <f t="shared" si="46"/>
        <v>230</v>
      </c>
      <c r="AP55" s="160">
        <f t="shared" si="46"/>
        <v>20527.5</v>
      </c>
      <c r="AQ55" s="160">
        <f t="shared" si="46"/>
        <v>254</v>
      </c>
      <c r="AR55" s="160">
        <f t="shared" si="46"/>
        <v>22669.5</v>
      </c>
      <c r="AS55" s="160">
        <f t="shared" si="46"/>
        <v>240</v>
      </c>
      <c r="AT55" s="160">
        <f t="shared" si="46"/>
        <v>58464</v>
      </c>
    </row>
    <row r="56" spans="2:46" ht="114" customHeight="1">
      <c r="B56" s="26" t="s">
        <v>136</v>
      </c>
      <c r="C56" s="27" t="s">
        <v>137</v>
      </c>
      <c r="D56" s="87" t="s">
        <v>138</v>
      </c>
      <c r="E56" s="29">
        <v>30</v>
      </c>
      <c r="F56" s="84">
        <f>1/30</f>
        <v>0.03333333333333333</v>
      </c>
      <c r="G56" s="29" t="s">
        <v>139</v>
      </c>
      <c r="H56" s="41" t="s">
        <v>140</v>
      </c>
      <c r="I56" s="42">
        <v>30</v>
      </c>
      <c r="J56" s="42">
        <v>30</v>
      </c>
      <c r="K56" s="42">
        <v>30</v>
      </c>
      <c r="L56" s="89">
        <f>ROUND(E56/60*$H$3/147.7*F56,2)</f>
        <v>2.55</v>
      </c>
      <c r="M56" s="89">
        <v>1</v>
      </c>
      <c r="N56" s="89">
        <v>1</v>
      </c>
      <c r="O56" s="89">
        <v>1</v>
      </c>
      <c r="P56" s="89">
        <f>ROUND($L56*M56,2)</f>
        <v>2.55</v>
      </c>
      <c r="Q56" s="89">
        <f t="shared" si="21"/>
        <v>2.55</v>
      </c>
      <c r="R56" s="89">
        <f t="shared" si="21"/>
        <v>2.55</v>
      </c>
      <c r="S56" s="90">
        <f aca="true" t="shared" si="47" ref="S56:U57">P56*I56</f>
        <v>76.5</v>
      </c>
      <c r="T56" s="90">
        <f t="shared" si="47"/>
        <v>76.5</v>
      </c>
      <c r="U56" s="90">
        <f t="shared" si="47"/>
        <v>76.5</v>
      </c>
      <c r="V56" s="90"/>
      <c r="W56" s="34">
        <f>V56*M56</f>
        <v>0</v>
      </c>
      <c r="X56" s="34">
        <f>V56*N56</f>
        <v>0</v>
      </c>
      <c r="Y56" s="34">
        <f>V56*O56</f>
        <v>0</v>
      </c>
      <c r="AA56" s="91">
        <f>V56+L56</f>
        <v>2.55</v>
      </c>
      <c r="AB56" s="34">
        <f aca="true" t="shared" si="48" ref="AB56:AD57">W56+P56</f>
        <v>2.55</v>
      </c>
      <c r="AC56" s="34">
        <f t="shared" si="48"/>
        <v>2.55</v>
      </c>
      <c r="AD56" s="34">
        <f t="shared" si="48"/>
        <v>2.55</v>
      </c>
      <c r="AE56" s="36">
        <f t="shared" si="6"/>
        <v>0.5609999999999999</v>
      </c>
      <c r="AF56" s="34">
        <f t="shared" si="26"/>
        <v>1.02</v>
      </c>
      <c r="AG56" s="34">
        <f t="shared" si="7"/>
        <v>1.1475</v>
      </c>
      <c r="AH56" s="34">
        <f t="shared" si="8"/>
        <v>0.5609999999999999</v>
      </c>
      <c r="AI56" s="208">
        <f t="shared" si="9"/>
        <v>3.1109999999999998</v>
      </c>
      <c r="AJ56" s="205">
        <f t="shared" si="10"/>
        <v>3.57</v>
      </c>
      <c r="AK56" s="205">
        <f t="shared" si="11"/>
        <v>3.6975</v>
      </c>
      <c r="AL56" s="205">
        <f t="shared" si="12"/>
        <v>3.1109999999999998</v>
      </c>
      <c r="AM56" s="162">
        <v>567</v>
      </c>
      <c r="AN56" s="157">
        <f>AM56*AJ56</f>
        <v>2024.1899999999998</v>
      </c>
      <c r="AO56" s="182">
        <v>115</v>
      </c>
      <c r="AP56" s="162">
        <f aca="true" t="shared" si="49" ref="AP56:AR57">AO56*$S56</f>
        <v>8797.5</v>
      </c>
      <c r="AQ56" s="162">
        <v>127</v>
      </c>
      <c r="AR56" s="162">
        <f t="shared" si="49"/>
        <v>9715.5</v>
      </c>
      <c r="AS56" s="162">
        <v>120</v>
      </c>
      <c r="AT56" s="162">
        <f>AS56*$U56</f>
        <v>9180</v>
      </c>
    </row>
    <row r="57" spans="2:46" ht="92.25" customHeight="1">
      <c r="B57" s="26" t="s">
        <v>141</v>
      </c>
      <c r="C57" s="27" t="s">
        <v>142</v>
      </c>
      <c r="D57" s="87" t="s">
        <v>143</v>
      </c>
      <c r="E57" s="29">
        <v>40</v>
      </c>
      <c r="F57" s="84">
        <f>1/30</f>
        <v>0.03333333333333333</v>
      </c>
      <c r="G57" s="29" t="s">
        <v>139</v>
      </c>
      <c r="H57" s="41" t="s">
        <v>213</v>
      </c>
      <c r="I57" s="42">
        <v>30</v>
      </c>
      <c r="J57" s="42">
        <v>30</v>
      </c>
      <c r="K57" s="42">
        <v>30</v>
      </c>
      <c r="L57" s="89">
        <f>ROUND(E57/60*$H$3/147.7*F57,2)</f>
        <v>3.4</v>
      </c>
      <c r="M57" s="89">
        <v>1</v>
      </c>
      <c r="N57" s="89">
        <v>1</v>
      </c>
      <c r="O57" s="89">
        <v>2</v>
      </c>
      <c r="P57" s="89">
        <f>ROUND($L57*M57,2)</f>
        <v>3.4</v>
      </c>
      <c r="Q57" s="89">
        <f t="shared" si="21"/>
        <v>3.4</v>
      </c>
      <c r="R57" s="89">
        <f>ROUND($L57*O57*W2,2)</f>
        <v>13.69</v>
      </c>
      <c r="S57" s="90">
        <f t="shared" si="47"/>
        <v>102</v>
      </c>
      <c r="T57" s="90">
        <f t="shared" si="47"/>
        <v>102</v>
      </c>
      <c r="U57" s="92">
        <f t="shared" si="47"/>
        <v>410.7</v>
      </c>
      <c r="V57" s="93"/>
      <c r="W57" s="34">
        <f>V57*M57</f>
        <v>0</v>
      </c>
      <c r="X57" s="34">
        <f>V57*N57</f>
        <v>0</v>
      </c>
      <c r="Y57" s="34">
        <f>V57*O57</f>
        <v>0</v>
      </c>
      <c r="Z57" s="1" t="s">
        <v>144</v>
      </c>
      <c r="AA57" s="94">
        <f>V57+L57</f>
        <v>3.4</v>
      </c>
      <c r="AB57" s="34">
        <f t="shared" si="48"/>
        <v>3.4</v>
      </c>
      <c r="AC57" s="34">
        <f t="shared" si="48"/>
        <v>3.4</v>
      </c>
      <c r="AD57" s="34">
        <f t="shared" si="48"/>
        <v>13.69</v>
      </c>
      <c r="AE57" s="36">
        <f t="shared" si="6"/>
        <v>0.748</v>
      </c>
      <c r="AF57" s="34">
        <f t="shared" si="26"/>
        <v>1.36</v>
      </c>
      <c r="AG57" s="34">
        <f t="shared" si="7"/>
        <v>1.53</v>
      </c>
      <c r="AH57" s="34">
        <f t="shared" si="8"/>
        <v>3.0118</v>
      </c>
      <c r="AI57" s="208">
        <f t="shared" si="9"/>
        <v>4.148</v>
      </c>
      <c r="AJ57" s="205">
        <f t="shared" si="10"/>
        <v>4.76</v>
      </c>
      <c r="AK57" s="205">
        <f t="shared" si="11"/>
        <v>4.93</v>
      </c>
      <c r="AL57" s="205">
        <f t="shared" si="12"/>
        <v>16.7018</v>
      </c>
      <c r="AM57" s="162">
        <v>567</v>
      </c>
      <c r="AN57" s="157">
        <f>AM57*AJ57</f>
        <v>2698.92</v>
      </c>
      <c r="AO57" s="182">
        <v>115</v>
      </c>
      <c r="AP57" s="162">
        <f t="shared" si="49"/>
        <v>11730</v>
      </c>
      <c r="AQ57" s="162">
        <v>127</v>
      </c>
      <c r="AR57" s="162">
        <f t="shared" si="49"/>
        <v>12954</v>
      </c>
      <c r="AS57" s="162">
        <v>120</v>
      </c>
      <c r="AT57" s="162">
        <f>AS57*$U57</f>
        <v>49284</v>
      </c>
    </row>
    <row r="58" spans="2:46" ht="21" customHeight="1">
      <c r="B58" s="16" t="s">
        <v>145</v>
      </c>
      <c r="C58" s="17"/>
      <c r="D58" s="190"/>
      <c r="E58" s="18"/>
      <c r="F58" s="18"/>
      <c r="G58" s="18"/>
      <c r="H58" s="18"/>
      <c r="I58" s="19"/>
      <c r="J58" s="8"/>
      <c r="K58" s="8"/>
      <c r="L58" s="7"/>
      <c r="M58" s="7"/>
      <c r="N58" s="7"/>
      <c r="O58" s="7"/>
      <c r="P58" s="7"/>
      <c r="Q58" s="7"/>
      <c r="R58" s="7"/>
      <c r="S58" s="22">
        <f>S59+S62+S63</f>
        <v>695.7</v>
      </c>
      <c r="T58" s="22">
        <f aca="true" t="shared" si="50" ref="T58:AL58">T59+T62+T63</f>
        <v>338.7</v>
      </c>
      <c r="U58" s="22">
        <f t="shared" si="50"/>
        <v>5619.299999999999</v>
      </c>
      <c r="V58" s="22"/>
      <c r="W58" s="22">
        <f t="shared" si="50"/>
        <v>0.42</v>
      </c>
      <c r="X58" s="22">
        <f t="shared" si="50"/>
        <v>0.6599999999999999</v>
      </c>
      <c r="Y58" s="22">
        <f t="shared" si="50"/>
        <v>0.76</v>
      </c>
      <c r="Z58" s="22"/>
      <c r="AA58" s="22">
        <f t="shared" si="50"/>
        <v>13.709999999999999</v>
      </c>
      <c r="AB58" s="22">
        <f t="shared" si="50"/>
        <v>23.61</v>
      </c>
      <c r="AC58" s="22">
        <f t="shared" si="50"/>
        <v>11.95</v>
      </c>
      <c r="AD58" s="22">
        <f t="shared" si="50"/>
        <v>188.07000000000002</v>
      </c>
      <c r="AE58" s="22">
        <f t="shared" si="50"/>
        <v>3.0162</v>
      </c>
      <c r="AF58" s="22">
        <f t="shared" si="50"/>
        <v>9.444</v>
      </c>
      <c r="AG58" s="34">
        <f t="shared" si="7"/>
        <v>5.3774999999999995</v>
      </c>
      <c r="AH58" s="34">
        <f t="shared" si="8"/>
        <v>41.375400000000006</v>
      </c>
      <c r="AI58" s="22">
        <f t="shared" si="50"/>
        <v>16.726200000000002</v>
      </c>
      <c r="AJ58" s="22">
        <f t="shared" si="50"/>
        <v>33.053999999999995</v>
      </c>
      <c r="AK58" s="22">
        <f t="shared" si="50"/>
        <v>17.3275</v>
      </c>
      <c r="AL58" s="22">
        <f t="shared" si="50"/>
        <v>229.44539999999998</v>
      </c>
      <c r="AM58" s="160">
        <f aca="true" t="shared" si="51" ref="AM58:AT58">AM59+AM62+AM63</f>
        <v>1323</v>
      </c>
      <c r="AN58" s="160">
        <f t="shared" si="51"/>
        <v>11544.498</v>
      </c>
      <c r="AO58" s="160">
        <f t="shared" si="51"/>
        <v>341</v>
      </c>
      <c r="AP58" s="160">
        <f t="shared" si="51"/>
        <v>78373.5</v>
      </c>
      <c r="AQ58" s="160">
        <f t="shared" si="51"/>
        <v>371</v>
      </c>
      <c r="AR58" s="160">
        <f t="shared" si="51"/>
        <v>84273.9</v>
      </c>
      <c r="AS58" s="160">
        <f t="shared" si="51"/>
        <v>360</v>
      </c>
      <c r="AT58" s="160">
        <f t="shared" si="51"/>
        <v>674316</v>
      </c>
    </row>
    <row r="59" spans="2:46" ht="41.25" customHeight="1">
      <c r="B59" s="442" t="s">
        <v>146</v>
      </c>
      <c r="C59" s="439" t="s">
        <v>147</v>
      </c>
      <c r="D59" s="196"/>
      <c r="E59" s="9">
        <f>SUM(E60:E61)</f>
        <v>60</v>
      </c>
      <c r="F59" s="9">
        <f>SUM(F60:F61)</f>
        <v>0.044444444444444446</v>
      </c>
      <c r="G59" s="9"/>
      <c r="H59" s="9"/>
      <c r="I59" s="9"/>
      <c r="J59" s="9"/>
      <c r="K59" s="9"/>
      <c r="L59" s="95">
        <f>SUM(L60:L61)</f>
        <v>3.7</v>
      </c>
      <c r="M59" s="95">
        <f>SUM(M60:M61)</f>
        <v>8</v>
      </c>
      <c r="N59" s="95">
        <f>SUM(N60:N61)</f>
        <v>1</v>
      </c>
      <c r="O59" s="95">
        <v>20</v>
      </c>
      <c r="P59" s="95">
        <f t="shared" si="21"/>
        <v>29.6</v>
      </c>
      <c r="Q59" s="95">
        <f t="shared" si="21"/>
        <v>3.7</v>
      </c>
      <c r="R59" s="95">
        <f t="shared" si="21"/>
        <v>74</v>
      </c>
      <c r="S59" s="45">
        <f>SUM(S60:S61)</f>
        <v>408</v>
      </c>
      <c r="T59" s="45">
        <f>SUM(T60:T61)</f>
        <v>51</v>
      </c>
      <c r="U59" s="45">
        <f>SUM(U60:U61)</f>
        <v>2122.5</v>
      </c>
      <c r="V59" s="96"/>
      <c r="W59" s="34">
        <f>SUM(W60:W61)</f>
        <v>0</v>
      </c>
      <c r="X59" s="34">
        <f>SUM(X60:X61)</f>
        <v>0</v>
      </c>
      <c r="Y59" s="34">
        <f>SUM(Y60:Y61)</f>
        <v>0</v>
      </c>
      <c r="AA59" s="95">
        <f>V59+L59</f>
        <v>3.7</v>
      </c>
      <c r="AB59" s="96">
        <f>SUM(AB60:AB61)</f>
        <v>13.6</v>
      </c>
      <c r="AC59" s="96">
        <f>SUM(AC60:AC61)</f>
        <v>1.7</v>
      </c>
      <c r="AD59" s="96">
        <f>SUM(AD60:AD61)</f>
        <v>70.75</v>
      </c>
      <c r="AE59" s="36">
        <f t="shared" si="6"/>
        <v>0.8140000000000001</v>
      </c>
      <c r="AF59" s="34">
        <f t="shared" si="26"/>
        <v>5.44</v>
      </c>
      <c r="AG59" s="34">
        <f t="shared" si="7"/>
        <v>0.765</v>
      </c>
      <c r="AH59" s="34">
        <f t="shared" si="8"/>
        <v>15.565</v>
      </c>
      <c r="AI59" s="208">
        <f t="shared" si="9"/>
        <v>4.514</v>
      </c>
      <c r="AJ59" s="205">
        <f t="shared" si="10"/>
        <v>19.04</v>
      </c>
      <c r="AK59" s="205">
        <f t="shared" si="11"/>
        <v>2.465</v>
      </c>
      <c r="AL59" s="205">
        <f>AH59+AD59</f>
        <v>86.315</v>
      </c>
      <c r="AM59" s="164">
        <v>189</v>
      </c>
      <c r="AN59" s="157">
        <f>AM59*AJ59</f>
        <v>3598.56</v>
      </c>
      <c r="AO59" s="183">
        <v>111</v>
      </c>
      <c r="AP59" s="164">
        <f>AO59*$S59</f>
        <v>45288</v>
      </c>
      <c r="AQ59" s="164">
        <v>117</v>
      </c>
      <c r="AR59" s="164">
        <f>AQ59*$S59</f>
        <v>47736</v>
      </c>
      <c r="AS59" s="164">
        <v>120</v>
      </c>
      <c r="AT59" s="164">
        <f>AS59*$U59</f>
        <v>254700</v>
      </c>
    </row>
    <row r="60" spans="2:46" ht="83.25" customHeight="1">
      <c r="B60" s="442"/>
      <c r="C60" s="440"/>
      <c r="D60" s="197" t="s">
        <v>148</v>
      </c>
      <c r="E60" s="98">
        <v>20</v>
      </c>
      <c r="F60" s="75">
        <f>1/30</f>
        <v>0.03333333333333333</v>
      </c>
      <c r="G60" s="98" t="s">
        <v>139</v>
      </c>
      <c r="H60" s="55" t="s">
        <v>149</v>
      </c>
      <c r="I60" s="55">
        <v>30</v>
      </c>
      <c r="J60" s="55">
        <v>30</v>
      </c>
      <c r="K60" s="99">
        <v>30</v>
      </c>
      <c r="L60" s="67">
        <f>ROUND(E60/60*$H$3/147.7*F60,2)</f>
        <v>1.7</v>
      </c>
      <c r="M60" s="67">
        <v>8</v>
      </c>
      <c r="N60" s="67">
        <v>1</v>
      </c>
      <c r="O60" s="67">
        <v>20</v>
      </c>
      <c r="P60" s="67">
        <f t="shared" si="21"/>
        <v>13.6</v>
      </c>
      <c r="Q60" s="67">
        <f t="shared" si="21"/>
        <v>1.7</v>
      </c>
      <c r="R60" s="67">
        <f>ROUND($L60*O60*W2,2)</f>
        <v>68.47</v>
      </c>
      <c r="S60" s="100">
        <f aca="true" t="shared" si="52" ref="S60:U63">P60*I60</f>
        <v>408</v>
      </c>
      <c r="T60" s="100">
        <f t="shared" si="52"/>
        <v>51</v>
      </c>
      <c r="U60" s="101">
        <f t="shared" si="52"/>
        <v>2054.1</v>
      </c>
      <c r="V60" s="102"/>
      <c r="W60" s="57">
        <f>V60*M60</f>
        <v>0</v>
      </c>
      <c r="X60" s="57">
        <f>V60*N60</f>
        <v>0</v>
      </c>
      <c r="Y60" s="57">
        <f>V60*O60</f>
        <v>0</v>
      </c>
      <c r="Z60" s="1" t="s">
        <v>144</v>
      </c>
      <c r="AA60" s="103"/>
      <c r="AB60" s="57">
        <f aca="true" t="shared" si="53" ref="AB60:AD61">W60+P60</f>
        <v>13.6</v>
      </c>
      <c r="AC60" s="57">
        <f t="shared" si="53"/>
        <v>1.7</v>
      </c>
      <c r="AD60" s="57">
        <f t="shared" si="53"/>
        <v>68.47</v>
      </c>
      <c r="AE60" s="36">
        <f t="shared" si="6"/>
        <v>0</v>
      </c>
      <c r="AF60" s="34">
        <f t="shared" si="26"/>
        <v>5.44</v>
      </c>
      <c r="AG60" s="34">
        <f t="shared" si="7"/>
        <v>0.765</v>
      </c>
      <c r="AH60" s="34">
        <f t="shared" si="8"/>
        <v>15.0634</v>
      </c>
      <c r="AI60" s="208">
        <f t="shared" si="9"/>
        <v>0</v>
      </c>
      <c r="AJ60" s="57">
        <f t="shared" si="10"/>
        <v>19.04</v>
      </c>
      <c r="AK60" s="57">
        <f t="shared" si="11"/>
        <v>2.465</v>
      </c>
      <c r="AL60" s="57">
        <f t="shared" si="12"/>
        <v>83.5334</v>
      </c>
      <c r="AM60" s="165"/>
      <c r="AN60" s="165"/>
      <c r="AO60" s="165"/>
      <c r="AP60" s="165"/>
      <c r="AQ60" s="165"/>
      <c r="AR60" s="165"/>
      <c r="AS60" s="165"/>
      <c r="AT60" s="165"/>
    </row>
    <row r="61" spans="2:46" ht="41.25" customHeight="1">
      <c r="B61" s="442"/>
      <c r="C61" s="441"/>
      <c r="D61" s="198" t="s">
        <v>150</v>
      </c>
      <c r="E61" s="98">
        <v>40</v>
      </c>
      <c r="F61" s="75">
        <f>1/90</f>
        <v>0.011111111111111112</v>
      </c>
      <c r="G61" s="98" t="s">
        <v>151</v>
      </c>
      <c r="H61" s="55" t="s">
        <v>152</v>
      </c>
      <c r="I61" s="75">
        <v>30</v>
      </c>
      <c r="J61" s="75">
        <v>30</v>
      </c>
      <c r="K61" s="75">
        <v>30</v>
      </c>
      <c r="L61" s="75">
        <f>ROUND(E61/60*$J$3/147.7*F61,2)</f>
        <v>2</v>
      </c>
      <c r="M61" s="75">
        <v>0</v>
      </c>
      <c r="N61" s="75">
        <v>0</v>
      </c>
      <c r="O61" s="75">
        <v>1</v>
      </c>
      <c r="P61" s="75">
        <f t="shared" si="21"/>
        <v>0</v>
      </c>
      <c r="Q61" s="75">
        <f t="shared" si="21"/>
        <v>0</v>
      </c>
      <c r="R61" s="75">
        <f>ROUND($L61*O61*W3,2)</f>
        <v>2.28</v>
      </c>
      <c r="S61" s="101">
        <f t="shared" si="52"/>
        <v>0</v>
      </c>
      <c r="T61" s="101">
        <f t="shared" si="52"/>
        <v>0</v>
      </c>
      <c r="U61" s="101">
        <f t="shared" si="52"/>
        <v>68.39999999999999</v>
      </c>
      <c r="V61" s="105"/>
      <c r="W61" s="57">
        <f>V61*M61</f>
        <v>0</v>
      </c>
      <c r="X61" s="57">
        <f>V61*N61</f>
        <v>0</v>
      </c>
      <c r="Y61" s="57">
        <f>V61*O61</f>
        <v>0</v>
      </c>
      <c r="Z61" s="1" t="s">
        <v>144</v>
      </c>
      <c r="AA61" s="106"/>
      <c r="AB61" s="57">
        <f t="shared" si="53"/>
        <v>0</v>
      </c>
      <c r="AC61" s="57">
        <f t="shared" si="53"/>
        <v>0</v>
      </c>
      <c r="AD61" s="57">
        <f t="shared" si="53"/>
        <v>2.28</v>
      </c>
      <c r="AE61" s="36">
        <f t="shared" si="6"/>
        <v>0</v>
      </c>
      <c r="AF61" s="34">
        <f t="shared" si="26"/>
        <v>0</v>
      </c>
      <c r="AG61" s="34">
        <f t="shared" si="7"/>
        <v>0</v>
      </c>
      <c r="AH61" s="34">
        <f t="shared" si="8"/>
        <v>0.5015999999999999</v>
      </c>
      <c r="AI61" s="208">
        <f t="shared" si="9"/>
        <v>0</v>
      </c>
      <c r="AJ61" s="57">
        <f t="shared" si="10"/>
        <v>0</v>
      </c>
      <c r="AK61" s="57">
        <f t="shared" si="11"/>
        <v>0</v>
      </c>
      <c r="AL61" s="57">
        <f t="shared" si="12"/>
        <v>2.7815999999999996</v>
      </c>
      <c r="AM61" s="166"/>
      <c r="AN61" s="166"/>
      <c r="AO61" s="166"/>
      <c r="AP61" s="166"/>
      <c r="AQ61" s="166"/>
      <c r="AR61" s="166"/>
      <c r="AS61" s="166"/>
      <c r="AT61" s="166"/>
    </row>
    <row r="62" spans="2:46" ht="68.25" customHeight="1">
      <c r="B62" s="51" t="s">
        <v>153</v>
      </c>
      <c r="C62" s="26" t="s">
        <v>154</v>
      </c>
      <c r="D62" s="191" t="s">
        <v>155</v>
      </c>
      <c r="E62" s="107">
        <v>55</v>
      </c>
      <c r="F62" s="108">
        <f>1/30</f>
        <v>0.03333333333333333</v>
      </c>
      <c r="G62" s="107" t="s">
        <v>156</v>
      </c>
      <c r="H62" s="41" t="s">
        <v>157</v>
      </c>
      <c r="I62" s="41">
        <v>30</v>
      </c>
      <c r="J62" s="41">
        <v>30</v>
      </c>
      <c r="K62" s="41">
        <v>30</v>
      </c>
      <c r="L62" s="109">
        <f>ROUND(E62/60*$H$2/147.7*F62,2)</f>
        <v>4.59</v>
      </c>
      <c r="M62" s="109">
        <v>1</v>
      </c>
      <c r="N62" s="109">
        <v>1</v>
      </c>
      <c r="O62" s="109">
        <v>8</v>
      </c>
      <c r="P62" s="109">
        <f>ROUND($L62*M62,2)</f>
        <v>4.59</v>
      </c>
      <c r="Q62" s="109">
        <f t="shared" si="21"/>
        <v>4.59</v>
      </c>
      <c r="R62" s="109">
        <f>ROUND($L62*O62*W4,2)</f>
        <v>75.46</v>
      </c>
      <c r="S62" s="92">
        <f t="shared" si="52"/>
        <v>137.7</v>
      </c>
      <c r="T62" s="92">
        <f t="shared" si="52"/>
        <v>137.7</v>
      </c>
      <c r="U62" s="110">
        <f t="shared" si="52"/>
        <v>2263.7999999999997</v>
      </c>
      <c r="V62" s="111">
        <v>0.18</v>
      </c>
      <c r="W62" s="34">
        <f>V62*M62</f>
        <v>0.18</v>
      </c>
      <c r="X62" s="34">
        <v>0.3</v>
      </c>
      <c r="Y62" s="34">
        <v>0.4</v>
      </c>
      <c r="Z62" s="1" t="s">
        <v>144</v>
      </c>
      <c r="AA62" s="95">
        <f>V62+L62</f>
        <v>4.77</v>
      </c>
      <c r="AB62" s="34">
        <f aca="true" t="shared" si="54" ref="AB62:AD63">W62+P62</f>
        <v>4.77</v>
      </c>
      <c r="AC62" s="34">
        <f t="shared" si="54"/>
        <v>4.89</v>
      </c>
      <c r="AD62" s="34">
        <f t="shared" si="54"/>
        <v>75.86</v>
      </c>
      <c r="AE62" s="36">
        <f t="shared" si="6"/>
        <v>1.0493999999999999</v>
      </c>
      <c r="AF62" s="34">
        <f t="shared" si="26"/>
        <v>1.908</v>
      </c>
      <c r="AG62" s="34">
        <f t="shared" si="7"/>
        <v>2.2005</v>
      </c>
      <c r="AH62" s="34">
        <f t="shared" si="8"/>
        <v>16.6892</v>
      </c>
      <c r="AI62" s="208">
        <f t="shared" si="9"/>
        <v>5.8194</v>
      </c>
      <c r="AJ62" s="205">
        <f t="shared" si="10"/>
        <v>6.677999999999999</v>
      </c>
      <c r="AK62" s="205">
        <f t="shared" si="11"/>
        <v>7.0905</v>
      </c>
      <c r="AL62" s="205">
        <f t="shared" si="12"/>
        <v>92.5492</v>
      </c>
      <c r="AM62" s="163">
        <v>567</v>
      </c>
      <c r="AN62" s="157">
        <f>AM62*AJ62</f>
        <v>3786.4259999999995</v>
      </c>
      <c r="AO62" s="163">
        <v>115</v>
      </c>
      <c r="AP62" s="163">
        <f aca="true" t="shared" si="55" ref="AP62:AR63">AO62*$S62</f>
        <v>15835.499999999998</v>
      </c>
      <c r="AQ62" s="163">
        <v>127</v>
      </c>
      <c r="AR62" s="163">
        <f t="shared" si="55"/>
        <v>17487.899999999998</v>
      </c>
      <c r="AS62" s="163">
        <v>120</v>
      </c>
      <c r="AT62" s="163">
        <f>AS62*$U62</f>
        <v>271655.99999999994</v>
      </c>
    </row>
    <row r="63" spans="2:46" ht="99" customHeight="1">
      <c r="B63" s="112" t="s">
        <v>158</v>
      </c>
      <c r="C63" s="113" t="s">
        <v>159</v>
      </c>
      <c r="D63" s="114" t="s">
        <v>160</v>
      </c>
      <c r="E63" s="115">
        <v>60</v>
      </c>
      <c r="F63" s="116">
        <f>1/30</f>
        <v>0.03333333333333333</v>
      </c>
      <c r="G63" s="115" t="s">
        <v>156</v>
      </c>
      <c r="H63" s="41" t="s">
        <v>157</v>
      </c>
      <c r="I63" s="41">
        <v>30</v>
      </c>
      <c r="J63" s="41">
        <v>30</v>
      </c>
      <c r="K63" s="41">
        <v>30</v>
      </c>
      <c r="L63" s="109">
        <f>ROUND(E63/60*$H$2/147.7*F63,2)</f>
        <v>5</v>
      </c>
      <c r="M63" s="109">
        <v>1</v>
      </c>
      <c r="N63" s="109">
        <v>1</v>
      </c>
      <c r="O63" s="109">
        <v>4</v>
      </c>
      <c r="P63" s="109">
        <f t="shared" si="21"/>
        <v>5</v>
      </c>
      <c r="Q63" s="109">
        <f t="shared" si="21"/>
        <v>5</v>
      </c>
      <c r="R63" s="109">
        <f>ROUND($L63*O63*W4,2)</f>
        <v>41.1</v>
      </c>
      <c r="S63" s="92">
        <f t="shared" si="52"/>
        <v>150</v>
      </c>
      <c r="T63" s="92">
        <f t="shared" si="52"/>
        <v>150</v>
      </c>
      <c r="U63" s="110">
        <f>R63*K63</f>
        <v>1233</v>
      </c>
      <c r="V63" s="111">
        <v>0.24</v>
      </c>
      <c r="W63" s="34">
        <f>V63*M63</f>
        <v>0.24</v>
      </c>
      <c r="X63" s="34">
        <v>0.36</v>
      </c>
      <c r="Y63" s="34">
        <v>0.36</v>
      </c>
      <c r="Z63" s="1" t="s">
        <v>144</v>
      </c>
      <c r="AA63" s="95">
        <f>V63+L63</f>
        <v>5.24</v>
      </c>
      <c r="AB63" s="34">
        <f t="shared" si="54"/>
        <v>5.24</v>
      </c>
      <c r="AC63" s="34">
        <f t="shared" si="54"/>
        <v>5.36</v>
      </c>
      <c r="AD63" s="34">
        <f t="shared" si="54"/>
        <v>41.46</v>
      </c>
      <c r="AE63" s="36">
        <f t="shared" si="6"/>
        <v>1.1528</v>
      </c>
      <c r="AF63" s="34">
        <f t="shared" si="26"/>
        <v>2.096</v>
      </c>
      <c r="AG63" s="34">
        <f t="shared" si="7"/>
        <v>2.4120000000000004</v>
      </c>
      <c r="AH63" s="34">
        <f t="shared" si="8"/>
        <v>9.1212</v>
      </c>
      <c r="AI63" s="208">
        <f t="shared" si="9"/>
        <v>6.3928</v>
      </c>
      <c r="AJ63" s="205">
        <f t="shared" si="10"/>
        <v>7.336</v>
      </c>
      <c r="AK63" s="205">
        <f t="shared" si="11"/>
        <v>7.772</v>
      </c>
      <c r="AL63" s="205">
        <f t="shared" si="12"/>
        <v>50.5812</v>
      </c>
      <c r="AM63" s="163">
        <v>567</v>
      </c>
      <c r="AN63" s="157">
        <f>AM63*AJ63</f>
        <v>4159.512</v>
      </c>
      <c r="AO63" s="163">
        <v>115</v>
      </c>
      <c r="AP63" s="163">
        <f t="shared" si="55"/>
        <v>17250</v>
      </c>
      <c r="AQ63" s="163">
        <v>127</v>
      </c>
      <c r="AR63" s="163">
        <f t="shared" si="55"/>
        <v>19050</v>
      </c>
      <c r="AS63" s="163">
        <v>120</v>
      </c>
      <c r="AT63" s="163">
        <f>AS63*$U63</f>
        <v>147960</v>
      </c>
    </row>
    <row r="64" spans="2:46" ht="21" customHeight="1">
      <c r="B64" s="16" t="s">
        <v>161</v>
      </c>
      <c r="C64" s="17"/>
      <c r="D64" s="190"/>
      <c r="E64" s="18"/>
      <c r="F64" s="18"/>
      <c r="G64" s="18"/>
      <c r="H64" s="18"/>
      <c r="I64" s="19"/>
      <c r="J64" s="8"/>
      <c r="K64" s="8"/>
      <c r="L64" s="7"/>
      <c r="M64" s="7"/>
      <c r="N64" s="7"/>
      <c r="O64" s="7"/>
      <c r="P64" s="7"/>
      <c r="Q64" s="7"/>
      <c r="R64" s="7"/>
      <c r="S64" s="22">
        <f>S65+S66+S67</f>
        <v>1080</v>
      </c>
      <c r="T64" s="22">
        <f>T65+T66+T67</f>
        <v>283.5</v>
      </c>
      <c r="U64" s="22">
        <f>U65+U66+U67</f>
        <v>10797.9</v>
      </c>
      <c r="V64" s="22"/>
      <c r="W64" s="22">
        <f>W65+W66+W67</f>
        <v>0</v>
      </c>
      <c r="X64" s="22">
        <f>X65+X66+X67</f>
        <v>35</v>
      </c>
      <c r="Y64" s="22">
        <f>Y65+Y66+Y67</f>
        <v>25</v>
      </c>
      <c r="Z64" s="22"/>
      <c r="AA64" s="22">
        <f>AA65+AA66+AA67</f>
        <v>339.57</v>
      </c>
      <c r="AB64" s="22">
        <f>AB65+AB66+AB67</f>
        <v>36</v>
      </c>
      <c r="AC64" s="22">
        <f aca="true" t="shared" si="56" ref="AC64:AL64">AC65+AC66+AC67</f>
        <v>44.45</v>
      </c>
      <c r="AD64" s="22">
        <f t="shared" si="56"/>
        <v>384.92999999999995</v>
      </c>
      <c r="AE64" s="22">
        <f t="shared" si="56"/>
        <v>74.7054</v>
      </c>
      <c r="AF64" s="22">
        <f t="shared" si="56"/>
        <v>14.4</v>
      </c>
      <c r="AG64" s="34">
        <f t="shared" si="7"/>
        <v>20.0025</v>
      </c>
      <c r="AH64" s="34">
        <f t="shared" si="8"/>
        <v>84.68459999999999</v>
      </c>
      <c r="AI64" s="22">
        <f t="shared" si="56"/>
        <v>414.2754</v>
      </c>
      <c r="AJ64" s="22">
        <f>AJ65+AJ66+AJ67</f>
        <v>50.4</v>
      </c>
      <c r="AK64" s="22">
        <f t="shared" si="56"/>
        <v>64.4525</v>
      </c>
      <c r="AL64" s="22">
        <f t="shared" si="56"/>
        <v>469.6146</v>
      </c>
      <c r="AM64" s="160">
        <f aca="true" t="shared" si="57" ref="AM64:AT64">AM65+AM66+AM67</f>
        <v>284</v>
      </c>
      <c r="AN64" s="160">
        <f t="shared" si="57"/>
        <v>14313.6</v>
      </c>
      <c r="AO64" s="160">
        <f t="shared" si="57"/>
        <v>111</v>
      </c>
      <c r="AP64" s="160">
        <f t="shared" si="57"/>
        <v>119880</v>
      </c>
      <c r="AQ64" s="160">
        <f t="shared" si="57"/>
        <v>94</v>
      </c>
      <c r="AR64" s="160">
        <f t="shared" si="57"/>
        <v>101520</v>
      </c>
      <c r="AS64" s="160">
        <f t="shared" si="57"/>
        <v>170</v>
      </c>
      <c r="AT64" s="160">
        <f t="shared" si="57"/>
        <v>1187808</v>
      </c>
    </row>
    <row r="65" spans="2:46" ht="87.75" customHeight="1">
      <c r="B65" s="117" t="s">
        <v>162</v>
      </c>
      <c r="C65" s="118" t="s">
        <v>163</v>
      </c>
      <c r="D65" s="191" t="s">
        <v>164</v>
      </c>
      <c r="E65" s="115">
        <v>30</v>
      </c>
      <c r="F65" s="116">
        <f>2/30</f>
        <v>0.06666666666666667</v>
      </c>
      <c r="G65" s="41" t="s">
        <v>151</v>
      </c>
      <c r="H65" s="26" t="s">
        <v>165</v>
      </c>
      <c r="I65" s="119">
        <v>30</v>
      </c>
      <c r="J65" s="119">
        <v>30</v>
      </c>
      <c r="K65" s="119">
        <v>30</v>
      </c>
      <c r="L65" s="109">
        <f>ROUND(E65/60*$J$3/147.7*F65,2)</f>
        <v>9</v>
      </c>
      <c r="M65" s="109">
        <v>4</v>
      </c>
      <c r="N65" s="109">
        <v>1</v>
      </c>
      <c r="O65" s="109">
        <v>5</v>
      </c>
      <c r="P65" s="109">
        <f t="shared" si="21"/>
        <v>36</v>
      </c>
      <c r="Q65" s="109">
        <f t="shared" si="21"/>
        <v>9</v>
      </c>
      <c r="R65" s="109">
        <f>ROUND($L65*O65*W3,2)</f>
        <v>51.4</v>
      </c>
      <c r="S65" s="92">
        <f aca="true" t="shared" si="58" ref="S65:U66">P65*I65</f>
        <v>1080</v>
      </c>
      <c r="T65" s="92">
        <f t="shared" si="58"/>
        <v>270</v>
      </c>
      <c r="U65" s="110">
        <f t="shared" si="58"/>
        <v>1542</v>
      </c>
      <c r="V65" s="111"/>
      <c r="W65" s="34">
        <f>V65*M65</f>
        <v>0</v>
      </c>
      <c r="X65" s="34">
        <f>V65*N65</f>
        <v>0</v>
      </c>
      <c r="Y65" s="34">
        <f>V65*O65</f>
        <v>0</v>
      </c>
      <c r="Z65" s="1" t="s">
        <v>144</v>
      </c>
      <c r="AA65" s="120">
        <f>V65+L65</f>
        <v>9</v>
      </c>
      <c r="AB65" s="34">
        <f aca="true" t="shared" si="59" ref="AB65:AD66">W65+P65</f>
        <v>36</v>
      </c>
      <c r="AC65" s="34">
        <f t="shared" si="59"/>
        <v>9</v>
      </c>
      <c r="AD65" s="34">
        <f t="shared" si="59"/>
        <v>51.4</v>
      </c>
      <c r="AE65" s="36">
        <f t="shared" si="6"/>
        <v>1.98</v>
      </c>
      <c r="AF65" s="34">
        <f t="shared" si="26"/>
        <v>14.4</v>
      </c>
      <c r="AG65" s="34">
        <f t="shared" si="7"/>
        <v>4.05</v>
      </c>
      <c r="AH65" s="34">
        <f t="shared" si="8"/>
        <v>11.308</v>
      </c>
      <c r="AI65" s="208">
        <f t="shared" si="9"/>
        <v>10.98</v>
      </c>
      <c r="AJ65" s="205">
        <f t="shared" si="10"/>
        <v>50.4</v>
      </c>
      <c r="AK65" s="205">
        <f t="shared" si="11"/>
        <v>13.05</v>
      </c>
      <c r="AL65" s="205">
        <f t="shared" si="12"/>
        <v>62.708</v>
      </c>
      <c r="AM65" s="163">
        <v>284</v>
      </c>
      <c r="AN65" s="157">
        <f>AM65*AJ65</f>
        <v>14313.6</v>
      </c>
      <c r="AO65" s="184">
        <v>111</v>
      </c>
      <c r="AP65" s="163">
        <f aca="true" t="shared" si="60" ref="AP65:AR66">AO65*$S65</f>
        <v>119880</v>
      </c>
      <c r="AQ65" s="163">
        <v>94</v>
      </c>
      <c r="AR65" s="163">
        <f t="shared" si="60"/>
        <v>101520</v>
      </c>
      <c r="AS65" s="163">
        <v>50</v>
      </c>
      <c r="AT65" s="163">
        <f>AS65*$U65</f>
        <v>77100</v>
      </c>
    </row>
    <row r="66" spans="2:46" ht="136.5" customHeight="1">
      <c r="B66" s="26" t="s">
        <v>166</v>
      </c>
      <c r="C66" s="121" t="s">
        <v>167</v>
      </c>
      <c r="D66" s="87" t="s">
        <v>168</v>
      </c>
      <c r="E66" s="88">
        <v>25</v>
      </c>
      <c r="F66" s="122">
        <f>1/365</f>
        <v>0.0027397260273972603</v>
      </c>
      <c r="G66" s="88" t="s">
        <v>90</v>
      </c>
      <c r="H66" s="26" t="s">
        <v>91</v>
      </c>
      <c r="I66" s="45">
        <v>30</v>
      </c>
      <c r="J66" s="45">
        <v>30</v>
      </c>
      <c r="K66" s="45">
        <v>30</v>
      </c>
      <c r="L66" s="109">
        <f>ROUND(E66/60*$H$1/147.7*F66,2)</f>
        <v>0.25</v>
      </c>
      <c r="M66" s="109">
        <v>0</v>
      </c>
      <c r="N66" s="109">
        <v>1</v>
      </c>
      <c r="O66" s="109">
        <v>0</v>
      </c>
      <c r="P66" s="109">
        <f t="shared" si="21"/>
        <v>0</v>
      </c>
      <c r="Q66" s="109">
        <f t="shared" si="21"/>
        <v>0.25</v>
      </c>
      <c r="R66" s="109">
        <f t="shared" si="21"/>
        <v>0</v>
      </c>
      <c r="S66" s="92">
        <f t="shared" si="58"/>
        <v>0</v>
      </c>
      <c r="T66" s="92">
        <f t="shared" si="58"/>
        <v>7.5</v>
      </c>
      <c r="U66" s="92">
        <f t="shared" si="58"/>
        <v>0</v>
      </c>
      <c r="V66" s="92">
        <v>20</v>
      </c>
      <c r="W66" s="34">
        <f>V66*M66</f>
        <v>0</v>
      </c>
      <c r="X66" s="34">
        <f>V66*N66</f>
        <v>20</v>
      </c>
      <c r="Y66" s="34">
        <f>V66*O66</f>
        <v>0</v>
      </c>
      <c r="AA66" s="123">
        <f>V66+L66</f>
        <v>20.25</v>
      </c>
      <c r="AB66" s="34">
        <f t="shared" si="59"/>
        <v>0</v>
      </c>
      <c r="AC66" s="34">
        <f t="shared" si="59"/>
        <v>20.25</v>
      </c>
      <c r="AD66" s="34">
        <f t="shared" si="59"/>
        <v>0</v>
      </c>
      <c r="AE66" s="36">
        <f t="shared" si="6"/>
        <v>4.455</v>
      </c>
      <c r="AF66" s="34">
        <f t="shared" si="26"/>
        <v>0</v>
      </c>
      <c r="AG66" s="34">
        <f t="shared" si="7"/>
        <v>9.1125</v>
      </c>
      <c r="AH66" s="34">
        <f t="shared" si="8"/>
        <v>0</v>
      </c>
      <c r="AI66" s="208">
        <f t="shared" si="9"/>
        <v>24.705</v>
      </c>
      <c r="AJ66" s="205">
        <f t="shared" si="10"/>
        <v>0</v>
      </c>
      <c r="AK66" s="205">
        <f t="shared" si="11"/>
        <v>29.3625</v>
      </c>
      <c r="AL66" s="205">
        <f t="shared" si="12"/>
        <v>0</v>
      </c>
      <c r="AM66" s="163"/>
      <c r="AN66" s="157">
        <f>AM66*AJ66</f>
        <v>0</v>
      </c>
      <c r="AO66" s="163"/>
      <c r="AP66" s="163">
        <f t="shared" si="60"/>
        <v>0</v>
      </c>
      <c r="AQ66" s="163">
        <v>0</v>
      </c>
      <c r="AR66" s="163">
        <f t="shared" si="60"/>
        <v>0</v>
      </c>
      <c r="AS66" s="163">
        <v>0</v>
      </c>
      <c r="AT66" s="163">
        <f>AS66*$U66</f>
        <v>0</v>
      </c>
    </row>
    <row r="67" spans="2:46" ht="39.75" customHeight="1">
      <c r="B67" s="438" t="s">
        <v>169</v>
      </c>
      <c r="C67" s="439" t="s">
        <v>170</v>
      </c>
      <c r="D67" s="172" t="s">
        <v>171</v>
      </c>
      <c r="E67" s="125">
        <v>60</v>
      </c>
      <c r="F67" s="125">
        <v>60</v>
      </c>
      <c r="G67" s="125"/>
      <c r="H67" s="126"/>
      <c r="I67" s="126"/>
      <c r="J67" s="42"/>
      <c r="K67" s="42"/>
      <c r="L67" s="127">
        <f>SUM(L68:L69)</f>
        <v>270.32</v>
      </c>
      <c r="M67" s="127">
        <f aca="true" t="shared" si="61" ref="M67:R67">SUM(M68:M69)</f>
        <v>0</v>
      </c>
      <c r="N67" s="127">
        <f t="shared" si="61"/>
        <v>1</v>
      </c>
      <c r="O67" s="127">
        <f t="shared" si="61"/>
        <v>1</v>
      </c>
      <c r="P67" s="127">
        <f t="shared" si="61"/>
        <v>0</v>
      </c>
      <c r="Q67" s="127">
        <f t="shared" si="61"/>
        <v>0.2</v>
      </c>
      <c r="R67" s="127">
        <f t="shared" si="61"/>
        <v>308.53</v>
      </c>
      <c r="S67" s="128">
        <f aca="true" t="shared" si="62" ref="S67:Y67">SUM(S68:S69)</f>
        <v>0</v>
      </c>
      <c r="T67" s="128">
        <f t="shared" si="62"/>
        <v>6</v>
      </c>
      <c r="U67" s="128">
        <f t="shared" si="62"/>
        <v>9255.9</v>
      </c>
      <c r="V67" s="21">
        <f t="shared" si="62"/>
        <v>40</v>
      </c>
      <c r="W67" s="21">
        <f>SUM(W68:W69)</f>
        <v>0</v>
      </c>
      <c r="X67" s="21">
        <f>SUM(X68:X69)</f>
        <v>15</v>
      </c>
      <c r="Y67" s="21">
        <f t="shared" si="62"/>
        <v>25</v>
      </c>
      <c r="AA67" s="129">
        <f>V67+L67</f>
        <v>310.32</v>
      </c>
      <c r="AB67" s="21">
        <f>SUM(AB68:AB69)</f>
        <v>0</v>
      </c>
      <c r="AC67" s="21">
        <f>SUM(AC68:AC69)</f>
        <v>15.2</v>
      </c>
      <c r="AD67" s="21">
        <f>SUM(AD68:AD69)</f>
        <v>333.53</v>
      </c>
      <c r="AE67" s="36">
        <f t="shared" si="6"/>
        <v>68.2704</v>
      </c>
      <c r="AF67" s="212">
        <f>AB67*0.5</f>
        <v>0</v>
      </c>
      <c r="AG67" s="34">
        <f t="shared" si="7"/>
        <v>6.84</v>
      </c>
      <c r="AH67" s="34">
        <f t="shared" si="8"/>
        <v>73.3766</v>
      </c>
      <c r="AI67" s="213">
        <f t="shared" si="9"/>
        <v>378.5904</v>
      </c>
      <c r="AJ67" s="214">
        <f t="shared" si="10"/>
        <v>0</v>
      </c>
      <c r="AK67" s="214">
        <f t="shared" si="11"/>
        <v>22.04</v>
      </c>
      <c r="AL67" s="214">
        <f t="shared" si="12"/>
        <v>406.90659999999997</v>
      </c>
      <c r="AM67" s="160"/>
      <c r="AN67" s="215">
        <f>AM67*AJ67</f>
        <v>0</v>
      </c>
      <c r="AO67" s="160"/>
      <c r="AP67" s="160">
        <f>AO67*$S67</f>
        <v>0</v>
      </c>
      <c r="AQ67" s="160">
        <v>0</v>
      </c>
      <c r="AR67" s="167">
        <f>AQ67*$S67</f>
        <v>0</v>
      </c>
      <c r="AS67" s="167">
        <v>120</v>
      </c>
      <c r="AT67" s="167">
        <f>AS67*$U67</f>
        <v>1110708</v>
      </c>
    </row>
    <row r="68" spans="2:46" ht="75.75" customHeight="1">
      <c r="B68" s="427"/>
      <c r="C68" s="440"/>
      <c r="D68" s="199" t="s">
        <v>172</v>
      </c>
      <c r="E68" s="131">
        <v>20</v>
      </c>
      <c r="F68" s="132">
        <f>1/365</f>
        <v>0.0027397260273972603</v>
      </c>
      <c r="G68" s="131" t="s">
        <v>90</v>
      </c>
      <c r="H68" s="54" t="s">
        <v>91</v>
      </c>
      <c r="I68" s="75">
        <v>30</v>
      </c>
      <c r="J68" s="75">
        <v>30</v>
      </c>
      <c r="K68" s="75">
        <v>30</v>
      </c>
      <c r="L68" s="75">
        <f>ROUND(E68/60*$H$1/147.7*F68,2)</f>
        <v>0.2</v>
      </c>
      <c r="M68" s="75">
        <v>0</v>
      </c>
      <c r="N68" s="75">
        <v>1</v>
      </c>
      <c r="O68" s="75">
        <v>0</v>
      </c>
      <c r="P68" s="133">
        <f t="shared" si="21"/>
        <v>0</v>
      </c>
      <c r="Q68" s="133">
        <f t="shared" si="21"/>
        <v>0.2</v>
      </c>
      <c r="R68" s="133">
        <f t="shared" si="21"/>
        <v>0</v>
      </c>
      <c r="S68" s="101">
        <f aca="true" t="shared" si="63" ref="S68:U69">P68*I68</f>
        <v>0</v>
      </c>
      <c r="T68" s="101">
        <f t="shared" si="63"/>
        <v>6</v>
      </c>
      <c r="U68" s="101">
        <f t="shared" si="63"/>
        <v>0</v>
      </c>
      <c r="V68" s="101">
        <v>15</v>
      </c>
      <c r="W68" s="57">
        <f>V68*M68</f>
        <v>0</v>
      </c>
      <c r="X68" s="57">
        <f>V68*N68</f>
        <v>15</v>
      </c>
      <c r="Y68" s="57">
        <f>V68*O68</f>
        <v>0</v>
      </c>
      <c r="AA68" s="123"/>
      <c r="AB68" s="57">
        <f aca="true" t="shared" si="64" ref="AB68:AD69">W68+P68</f>
        <v>0</v>
      </c>
      <c r="AC68" s="57">
        <f t="shared" si="64"/>
        <v>15.2</v>
      </c>
      <c r="AD68" s="57">
        <f t="shared" si="64"/>
        <v>0</v>
      </c>
      <c r="AE68" s="36">
        <f t="shared" si="6"/>
        <v>0</v>
      </c>
      <c r="AF68" s="34">
        <f t="shared" si="26"/>
        <v>0</v>
      </c>
      <c r="AG68" s="34">
        <f t="shared" si="7"/>
        <v>6.84</v>
      </c>
      <c r="AH68" s="34">
        <f t="shared" si="8"/>
        <v>0</v>
      </c>
      <c r="AI68" s="208">
        <f t="shared" si="9"/>
        <v>0</v>
      </c>
      <c r="AJ68" s="57">
        <f t="shared" si="10"/>
        <v>0</v>
      </c>
      <c r="AK68" s="57">
        <f>AG68+AC68</f>
        <v>22.04</v>
      </c>
      <c r="AL68" s="57">
        <f t="shared" si="12"/>
        <v>0</v>
      </c>
      <c r="AM68" s="166">
        <f>Z68*S68</f>
        <v>0</v>
      </c>
      <c r="AN68" s="166">
        <f>AA68*T68</f>
        <v>0</v>
      </c>
      <c r="AO68" s="166">
        <f>AE68*U68</f>
        <v>0</v>
      </c>
      <c r="AP68" s="166">
        <f aca="true" t="shared" si="65" ref="AP68:AT69">AM68*V68</f>
        <v>0</v>
      </c>
      <c r="AQ68" s="166">
        <f t="shared" si="65"/>
        <v>0</v>
      </c>
      <c r="AR68" s="166">
        <f t="shared" si="65"/>
        <v>0</v>
      </c>
      <c r="AS68" s="166">
        <f t="shared" si="65"/>
        <v>0</v>
      </c>
      <c r="AT68" s="166">
        <f t="shared" si="65"/>
        <v>0</v>
      </c>
    </row>
    <row r="69" spans="2:46" ht="80.25" customHeight="1">
      <c r="B69" s="428"/>
      <c r="C69" s="441"/>
      <c r="D69" s="197" t="s">
        <v>173</v>
      </c>
      <c r="E69" s="131">
        <v>30</v>
      </c>
      <c r="F69" s="131">
        <f>60/30</f>
        <v>2</v>
      </c>
      <c r="G69" s="131" t="s">
        <v>151</v>
      </c>
      <c r="H69" s="135" t="s">
        <v>174</v>
      </c>
      <c r="I69" s="55">
        <v>30</v>
      </c>
      <c r="J69" s="56">
        <v>30</v>
      </c>
      <c r="K69" s="56">
        <v>30</v>
      </c>
      <c r="L69" s="67">
        <f>ROUND(E69/60*$J$3/147.7*F69,2)</f>
        <v>270.12</v>
      </c>
      <c r="M69" s="67">
        <v>0</v>
      </c>
      <c r="N69" s="67">
        <v>0</v>
      </c>
      <c r="O69" s="67">
        <v>1</v>
      </c>
      <c r="P69" s="67">
        <f t="shared" si="21"/>
        <v>0</v>
      </c>
      <c r="Q69" s="67">
        <f>ROUND($L69*N69,2)</f>
        <v>0</v>
      </c>
      <c r="R69" s="67">
        <f>ROUND($L69*O69*W3,2)</f>
        <v>308.53</v>
      </c>
      <c r="S69" s="101">
        <f t="shared" si="63"/>
        <v>0</v>
      </c>
      <c r="T69" s="101">
        <f t="shared" si="63"/>
        <v>0</v>
      </c>
      <c r="U69" s="101">
        <f t="shared" si="63"/>
        <v>9255.9</v>
      </c>
      <c r="V69" s="101">
        <v>25</v>
      </c>
      <c r="W69" s="57">
        <f>V69*M69</f>
        <v>0</v>
      </c>
      <c r="X69" s="57">
        <f>V69*N69</f>
        <v>0</v>
      </c>
      <c r="Y69" s="57">
        <f>V69*O69</f>
        <v>25</v>
      </c>
      <c r="AA69" s="123"/>
      <c r="AB69" s="57">
        <f t="shared" si="64"/>
        <v>0</v>
      </c>
      <c r="AC69" s="57">
        <f t="shared" si="64"/>
        <v>0</v>
      </c>
      <c r="AD69" s="57">
        <f t="shared" si="64"/>
        <v>333.53</v>
      </c>
      <c r="AE69" s="36">
        <f t="shared" si="6"/>
        <v>0</v>
      </c>
      <c r="AF69" s="34">
        <f t="shared" si="26"/>
        <v>0</v>
      </c>
      <c r="AG69" s="34">
        <f t="shared" si="7"/>
        <v>0</v>
      </c>
      <c r="AH69" s="34">
        <f t="shared" si="8"/>
        <v>73.3766</v>
      </c>
      <c r="AI69" s="208">
        <f t="shared" si="9"/>
        <v>0</v>
      </c>
      <c r="AJ69" s="57">
        <f t="shared" si="10"/>
        <v>0</v>
      </c>
      <c r="AK69" s="57">
        <f t="shared" si="11"/>
        <v>0</v>
      </c>
      <c r="AL69" s="57">
        <f t="shared" si="12"/>
        <v>406.90659999999997</v>
      </c>
      <c r="AM69" s="166">
        <f>Z69*S69</f>
        <v>0</v>
      </c>
      <c r="AN69" s="166">
        <f>AA69*T69</f>
        <v>0</v>
      </c>
      <c r="AO69" s="166">
        <f>AE69*U69</f>
        <v>0</v>
      </c>
      <c r="AP69" s="166">
        <f t="shared" si="65"/>
        <v>0</v>
      </c>
      <c r="AQ69" s="166">
        <f t="shared" si="65"/>
        <v>0</v>
      </c>
      <c r="AR69" s="166">
        <f t="shared" si="65"/>
        <v>0</v>
      </c>
      <c r="AS69" s="166">
        <f t="shared" si="65"/>
        <v>0</v>
      </c>
      <c r="AT69" s="166">
        <f t="shared" si="65"/>
        <v>0</v>
      </c>
    </row>
    <row r="70" spans="2:46" ht="21" customHeight="1">
      <c r="B70" s="16" t="s">
        <v>175</v>
      </c>
      <c r="C70" s="17"/>
      <c r="D70" s="190"/>
      <c r="E70" s="18"/>
      <c r="F70" s="18"/>
      <c r="G70" s="18"/>
      <c r="H70" s="18"/>
      <c r="I70" s="19"/>
      <c r="J70" s="8"/>
      <c r="K70" s="8"/>
      <c r="L70" s="7"/>
      <c r="M70" s="7"/>
      <c r="N70" s="7"/>
      <c r="O70" s="7"/>
      <c r="P70" s="7">
        <f t="shared" si="21"/>
        <v>0</v>
      </c>
      <c r="Q70" s="7">
        <f t="shared" si="21"/>
        <v>0</v>
      </c>
      <c r="R70" s="7">
        <f t="shared" si="21"/>
        <v>0</v>
      </c>
      <c r="S70" s="22">
        <f>S71+S72+S73</f>
        <v>67.5</v>
      </c>
      <c r="T70" s="22">
        <f>T71+T72+T73</f>
        <v>55.2</v>
      </c>
      <c r="U70" s="22">
        <f>U71+U72+U73</f>
        <v>42.9</v>
      </c>
      <c r="V70" s="22"/>
      <c r="W70" s="22">
        <f>W71+W72+W73</f>
        <v>0.2</v>
      </c>
      <c r="X70" s="22">
        <f>X71+X72+X73</f>
        <v>0.15000000000000002</v>
      </c>
      <c r="Y70" s="22">
        <f>Y71+Y72+Y73</f>
        <v>0.1</v>
      </c>
      <c r="Z70" s="22"/>
      <c r="AA70" s="22">
        <f>AA71+AA72+AA73</f>
        <v>1.9900000000000002</v>
      </c>
      <c r="AB70" s="22">
        <f>AB71+AB72+AB73</f>
        <v>2.45</v>
      </c>
      <c r="AC70" s="22">
        <f aca="true" t="shared" si="66" ref="AC70:AL70">AC71+AC72+AC73</f>
        <v>1.9900000000000002</v>
      </c>
      <c r="AD70" s="22">
        <f t="shared" si="66"/>
        <v>1.53</v>
      </c>
      <c r="AE70" s="22">
        <f t="shared" si="66"/>
        <v>0.43779999999999997</v>
      </c>
      <c r="AF70" s="22">
        <f t="shared" si="66"/>
        <v>0.98</v>
      </c>
      <c r="AG70" s="34">
        <f t="shared" si="7"/>
        <v>0.8955000000000001</v>
      </c>
      <c r="AH70" s="34">
        <f t="shared" si="8"/>
        <v>0.3366</v>
      </c>
      <c r="AI70" s="22">
        <f t="shared" si="66"/>
        <v>2.4278</v>
      </c>
      <c r="AJ70" s="22">
        <f t="shared" si="66"/>
        <v>3.4299999999999997</v>
      </c>
      <c r="AK70" s="22">
        <f t="shared" si="66"/>
        <v>2.8855000000000004</v>
      </c>
      <c r="AL70" s="22">
        <f t="shared" si="66"/>
        <v>1.8666</v>
      </c>
      <c r="AM70" s="160">
        <f aca="true" t="shared" si="67" ref="AM70:AT70">AM71+AM72+AM73</f>
        <v>1701</v>
      </c>
      <c r="AN70" s="160">
        <f t="shared" si="67"/>
        <v>1944.81</v>
      </c>
      <c r="AO70" s="160">
        <f t="shared" si="67"/>
        <v>345</v>
      </c>
      <c r="AP70" s="160">
        <f t="shared" si="67"/>
        <v>7762.5</v>
      </c>
      <c r="AQ70" s="160">
        <f t="shared" si="67"/>
        <v>254</v>
      </c>
      <c r="AR70" s="160">
        <f t="shared" si="67"/>
        <v>5448.299999999999</v>
      </c>
      <c r="AS70" s="160">
        <f t="shared" si="67"/>
        <v>240</v>
      </c>
      <c r="AT70" s="160">
        <f t="shared" si="67"/>
        <v>5148</v>
      </c>
    </row>
    <row r="71" spans="2:46" ht="129.75" customHeight="1">
      <c r="B71" s="31" t="s">
        <v>176</v>
      </c>
      <c r="C71" s="28" t="s">
        <v>177</v>
      </c>
      <c r="D71" s="200" t="s">
        <v>178</v>
      </c>
      <c r="E71" s="31">
        <v>15</v>
      </c>
      <c r="F71" s="137">
        <f>1/90</f>
        <v>0.011111111111111112</v>
      </c>
      <c r="G71" s="31" t="s">
        <v>90</v>
      </c>
      <c r="H71" s="31" t="s">
        <v>91</v>
      </c>
      <c r="I71" s="61">
        <v>30</v>
      </c>
      <c r="J71" s="61">
        <v>30</v>
      </c>
      <c r="K71" s="61">
        <v>30</v>
      </c>
      <c r="L71" s="138">
        <f>ROUND(E71/60*$H$1/147.7*F71,2)</f>
        <v>0.61</v>
      </c>
      <c r="M71" s="138">
        <v>1</v>
      </c>
      <c r="N71" s="138">
        <v>1</v>
      </c>
      <c r="O71" s="138">
        <v>1</v>
      </c>
      <c r="P71" s="138">
        <f t="shared" si="21"/>
        <v>0.61</v>
      </c>
      <c r="Q71" s="138">
        <f t="shared" si="21"/>
        <v>0.61</v>
      </c>
      <c r="R71" s="138">
        <f t="shared" si="21"/>
        <v>0.61</v>
      </c>
      <c r="S71" s="31">
        <f aca="true" t="shared" si="68" ref="S71:U73">P71*I71</f>
        <v>18.3</v>
      </c>
      <c r="T71" s="31">
        <f t="shared" si="68"/>
        <v>18.3</v>
      </c>
      <c r="U71" s="31">
        <f t="shared" si="68"/>
        <v>18.3</v>
      </c>
      <c r="V71" s="31">
        <v>0.05</v>
      </c>
      <c r="W71" s="34">
        <f>V71*M71</f>
        <v>0.05</v>
      </c>
      <c r="X71" s="34">
        <f>V71*N71</f>
        <v>0.05</v>
      </c>
      <c r="Y71" s="34">
        <f>V71*O71</f>
        <v>0.05</v>
      </c>
      <c r="AA71" s="138">
        <f>V71+L71</f>
        <v>0.66</v>
      </c>
      <c r="AB71" s="34">
        <f aca="true" t="shared" si="69" ref="AB71:AD73">W71+P71</f>
        <v>0.66</v>
      </c>
      <c r="AC71" s="34">
        <f t="shared" si="69"/>
        <v>0.66</v>
      </c>
      <c r="AD71" s="34">
        <f t="shared" si="69"/>
        <v>0.66</v>
      </c>
      <c r="AE71" s="36">
        <f t="shared" si="6"/>
        <v>0.1452</v>
      </c>
      <c r="AF71" s="34">
        <f t="shared" si="26"/>
        <v>0.264</v>
      </c>
      <c r="AG71" s="34">
        <f t="shared" si="7"/>
        <v>0.29700000000000004</v>
      </c>
      <c r="AH71" s="34">
        <f t="shared" si="8"/>
        <v>0.1452</v>
      </c>
      <c r="AI71" s="208">
        <f t="shared" si="9"/>
        <v>0.8052</v>
      </c>
      <c r="AJ71" s="205">
        <f t="shared" si="10"/>
        <v>0.924</v>
      </c>
      <c r="AK71" s="205">
        <f t="shared" si="11"/>
        <v>0.9570000000000001</v>
      </c>
      <c r="AL71" s="205">
        <f t="shared" si="12"/>
        <v>0.8052</v>
      </c>
      <c r="AM71" s="168">
        <v>567</v>
      </c>
      <c r="AN71" s="168">
        <f>AM71*AJ71</f>
        <v>523.908</v>
      </c>
      <c r="AO71" s="168">
        <v>115</v>
      </c>
      <c r="AP71" s="168">
        <f aca="true" t="shared" si="70" ref="AP71:AR72">AO71*$S71</f>
        <v>2104.5</v>
      </c>
      <c r="AQ71" s="168">
        <v>127</v>
      </c>
      <c r="AR71" s="168">
        <f t="shared" si="70"/>
        <v>2324.1</v>
      </c>
      <c r="AS71" s="168">
        <v>120</v>
      </c>
      <c r="AT71" s="168">
        <f>AS71*$U71</f>
        <v>2196</v>
      </c>
    </row>
    <row r="72" spans="2:46" ht="74.25" customHeight="1">
      <c r="B72" s="118" t="s">
        <v>179</v>
      </c>
      <c r="C72" s="27" t="s">
        <v>180</v>
      </c>
      <c r="D72" s="87" t="s">
        <v>181</v>
      </c>
      <c r="E72" s="31">
        <v>20</v>
      </c>
      <c r="F72" s="137">
        <f>1/180</f>
        <v>0.005555555555555556</v>
      </c>
      <c r="G72" s="31" t="s">
        <v>90</v>
      </c>
      <c r="H72" s="31" t="s">
        <v>182</v>
      </c>
      <c r="I72" s="61">
        <v>30</v>
      </c>
      <c r="J72" s="61">
        <v>30</v>
      </c>
      <c r="K72" s="61">
        <v>30</v>
      </c>
      <c r="L72" s="138">
        <f>ROUND(E72/60*$H$1/147.7*F72,2)</f>
        <v>0.41</v>
      </c>
      <c r="M72" s="138">
        <v>2</v>
      </c>
      <c r="N72" s="138">
        <v>1</v>
      </c>
      <c r="O72" s="138">
        <v>0</v>
      </c>
      <c r="P72" s="138">
        <f t="shared" si="21"/>
        <v>0.82</v>
      </c>
      <c r="Q72" s="138">
        <f t="shared" si="21"/>
        <v>0.41</v>
      </c>
      <c r="R72" s="138">
        <f t="shared" si="21"/>
        <v>0</v>
      </c>
      <c r="S72" s="32">
        <f t="shared" si="68"/>
        <v>24.599999999999998</v>
      </c>
      <c r="T72" s="32">
        <f t="shared" si="68"/>
        <v>12.299999999999999</v>
      </c>
      <c r="U72" s="32">
        <f t="shared" si="68"/>
        <v>0</v>
      </c>
      <c r="V72" s="31">
        <v>0.05</v>
      </c>
      <c r="W72" s="34">
        <f>V72*M72</f>
        <v>0.1</v>
      </c>
      <c r="X72" s="34">
        <f>V72*N72</f>
        <v>0.05</v>
      </c>
      <c r="Y72" s="34">
        <f>V72*O72</f>
        <v>0</v>
      </c>
      <c r="AA72" s="139">
        <f>V72+L72</f>
        <v>0.45999999999999996</v>
      </c>
      <c r="AB72" s="34">
        <f t="shared" si="69"/>
        <v>0.9199999999999999</v>
      </c>
      <c r="AC72" s="34">
        <f t="shared" si="69"/>
        <v>0.45999999999999996</v>
      </c>
      <c r="AD72" s="34">
        <f t="shared" si="69"/>
        <v>0</v>
      </c>
      <c r="AE72" s="36">
        <f t="shared" si="6"/>
        <v>0.1012</v>
      </c>
      <c r="AF72" s="34">
        <f t="shared" si="26"/>
        <v>0.368</v>
      </c>
      <c r="AG72" s="34">
        <f t="shared" si="7"/>
        <v>0.207</v>
      </c>
      <c r="AH72" s="34">
        <f t="shared" si="8"/>
        <v>0</v>
      </c>
      <c r="AI72" s="208">
        <f t="shared" si="9"/>
        <v>0.5611999999999999</v>
      </c>
      <c r="AJ72" s="205">
        <f t="shared" si="10"/>
        <v>1.2879999999999998</v>
      </c>
      <c r="AK72" s="205">
        <f t="shared" si="11"/>
        <v>0.6669999999999999</v>
      </c>
      <c r="AL72" s="205">
        <f t="shared" si="12"/>
        <v>0</v>
      </c>
      <c r="AM72" s="169">
        <v>567</v>
      </c>
      <c r="AN72" s="168">
        <f aca="true" t="shared" si="71" ref="AN72:AN78">AM72*AJ72</f>
        <v>730.2959999999999</v>
      </c>
      <c r="AO72" s="169">
        <v>115</v>
      </c>
      <c r="AP72" s="169">
        <f t="shared" si="70"/>
        <v>2828.9999999999995</v>
      </c>
      <c r="AQ72" s="169">
        <v>0</v>
      </c>
      <c r="AR72" s="169">
        <f t="shared" si="70"/>
        <v>0</v>
      </c>
      <c r="AS72" s="169">
        <v>0</v>
      </c>
      <c r="AT72" s="169">
        <f>AS72*$U72</f>
        <v>0</v>
      </c>
    </row>
    <row r="73" spans="2:46" ht="125.25" customHeight="1">
      <c r="B73" s="118" t="s">
        <v>183</v>
      </c>
      <c r="C73" s="28" t="s">
        <v>184</v>
      </c>
      <c r="D73" s="201" t="s">
        <v>185</v>
      </c>
      <c r="E73" s="31">
        <v>20</v>
      </c>
      <c r="F73" s="137">
        <f>1/90</f>
        <v>0.011111111111111112</v>
      </c>
      <c r="G73" s="31" t="s">
        <v>90</v>
      </c>
      <c r="H73" s="31" t="s">
        <v>186</v>
      </c>
      <c r="I73" s="141">
        <v>30</v>
      </c>
      <c r="J73" s="141">
        <v>30</v>
      </c>
      <c r="K73" s="141">
        <v>30</v>
      </c>
      <c r="L73" s="142">
        <f>ROUND(E73/60*$H$1/147.7*F73,2)</f>
        <v>0.82</v>
      </c>
      <c r="M73" s="142">
        <v>1</v>
      </c>
      <c r="N73" s="142">
        <v>1</v>
      </c>
      <c r="O73" s="142">
        <v>1</v>
      </c>
      <c r="P73" s="142">
        <f t="shared" si="21"/>
        <v>0.82</v>
      </c>
      <c r="Q73" s="142">
        <f t="shared" si="21"/>
        <v>0.82</v>
      </c>
      <c r="R73" s="142">
        <f t="shared" si="21"/>
        <v>0.82</v>
      </c>
      <c r="S73" s="141">
        <f t="shared" si="68"/>
        <v>24.599999999999998</v>
      </c>
      <c r="T73" s="141">
        <f t="shared" si="68"/>
        <v>24.599999999999998</v>
      </c>
      <c r="U73" s="141">
        <f t="shared" si="68"/>
        <v>24.599999999999998</v>
      </c>
      <c r="V73" s="31">
        <v>0.05</v>
      </c>
      <c r="W73" s="34">
        <f>V73*M73</f>
        <v>0.05</v>
      </c>
      <c r="X73" s="34">
        <f>V73*N73</f>
        <v>0.05</v>
      </c>
      <c r="Y73" s="34">
        <f>V73*O73</f>
        <v>0.05</v>
      </c>
      <c r="AA73" s="109">
        <f>V73+L73</f>
        <v>0.87</v>
      </c>
      <c r="AB73" s="34">
        <f t="shared" si="69"/>
        <v>0.87</v>
      </c>
      <c r="AC73" s="34">
        <f t="shared" si="69"/>
        <v>0.87</v>
      </c>
      <c r="AD73" s="34">
        <f t="shared" si="69"/>
        <v>0.87</v>
      </c>
      <c r="AE73" s="36">
        <f t="shared" si="6"/>
        <v>0.1914</v>
      </c>
      <c r="AF73" s="34">
        <f t="shared" si="26"/>
        <v>0.34800000000000003</v>
      </c>
      <c r="AG73" s="34">
        <f t="shared" si="7"/>
        <v>0.3915</v>
      </c>
      <c r="AH73" s="34">
        <f t="shared" si="8"/>
        <v>0.1914</v>
      </c>
      <c r="AI73" s="208">
        <f t="shared" si="9"/>
        <v>1.0614</v>
      </c>
      <c r="AJ73" s="205">
        <f t="shared" si="10"/>
        <v>1.218</v>
      </c>
      <c r="AK73" s="205">
        <f t="shared" si="11"/>
        <v>1.2615</v>
      </c>
      <c r="AL73" s="205">
        <f t="shared" si="12"/>
        <v>1.0614</v>
      </c>
      <c r="AM73" s="170">
        <v>567</v>
      </c>
      <c r="AN73" s="168">
        <f t="shared" si="71"/>
        <v>690.606</v>
      </c>
      <c r="AO73" s="170">
        <v>115</v>
      </c>
      <c r="AP73" s="170">
        <f>AO73*$S73</f>
        <v>2828.9999999999995</v>
      </c>
      <c r="AQ73" s="170">
        <v>127</v>
      </c>
      <c r="AR73" s="170">
        <f>AQ73*$S73</f>
        <v>3124.2</v>
      </c>
      <c r="AS73" s="170">
        <v>120</v>
      </c>
      <c r="AT73" s="170">
        <f>AS73*$U73</f>
        <v>2951.9999999999995</v>
      </c>
    </row>
    <row r="74" spans="2:46" ht="21" customHeight="1">
      <c r="B74" s="16" t="s">
        <v>187</v>
      </c>
      <c r="C74" s="17"/>
      <c r="D74" s="190"/>
      <c r="E74" s="18"/>
      <c r="F74" s="18"/>
      <c r="G74" s="18"/>
      <c r="H74" s="18"/>
      <c r="I74" s="62"/>
      <c r="J74" s="8"/>
      <c r="K74" s="8"/>
      <c r="L74" s="7"/>
      <c r="M74" s="7"/>
      <c r="N74" s="7"/>
      <c r="O74" s="7"/>
      <c r="P74" s="7">
        <f t="shared" si="21"/>
        <v>0</v>
      </c>
      <c r="Q74" s="7">
        <f t="shared" si="21"/>
        <v>0</v>
      </c>
      <c r="R74" s="7">
        <f t="shared" si="21"/>
        <v>0</v>
      </c>
      <c r="S74" s="22">
        <f>S75+S76+S77+S78</f>
        <v>3434.1</v>
      </c>
      <c r="T74" s="22">
        <f aca="true" t="shared" si="72" ref="T74:AL74">T75+T76+T77+T78</f>
        <v>372.6</v>
      </c>
      <c r="U74" s="22">
        <f t="shared" si="72"/>
        <v>4660.5</v>
      </c>
      <c r="V74" s="22"/>
      <c r="W74" s="22">
        <f>W75+W76+W77+W78</f>
        <v>0</v>
      </c>
      <c r="X74" s="22">
        <f>X75+X76+X77+X78</f>
        <v>0</v>
      </c>
      <c r="Y74" s="22">
        <f t="shared" si="72"/>
        <v>0</v>
      </c>
      <c r="Z74" s="22"/>
      <c r="AA74" s="22">
        <f t="shared" si="72"/>
        <v>12.420000000000002</v>
      </c>
      <c r="AB74" s="22">
        <f t="shared" si="72"/>
        <v>114.47000000000001</v>
      </c>
      <c r="AC74" s="22">
        <f t="shared" si="72"/>
        <v>12.420000000000002</v>
      </c>
      <c r="AD74" s="22">
        <f t="shared" si="72"/>
        <v>155.35</v>
      </c>
      <c r="AE74" s="22">
        <f t="shared" si="72"/>
        <v>2.7324</v>
      </c>
      <c r="AF74" s="22">
        <f t="shared" si="72"/>
        <v>45.788</v>
      </c>
      <c r="AG74" s="34">
        <f t="shared" si="7"/>
        <v>5.589000000000001</v>
      </c>
      <c r="AH74" s="34">
        <f t="shared" si="8"/>
        <v>34.177</v>
      </c>
      <c r="AI74" s="22">
        <f>AI75+AI76+AI77+AI78</f>
        <v>15.152400000000002</v>
      </c>
      <c r="AJ74" s="22">
        <f t="shared" si="72"/>
        <v>160.258</v>
      </c>
      <c r="AK74" s="22">
        <f t="shared" si="72"/>
        <v>18.009</v>
      </c>
      <c r="AL74" s="22">
        <f t="shared" si="72"/>
        <v>189.52700000000002</v>
      </c>
      <c r="AM74" s="160">
        <f aca="true" t="shared" si="73" ref="AM74:AT74">AM75+AM76+AM77+AM78</f>
        <v>1040</v>
      </c>
      <c r="AN74" s="216">
        <f t="shared" si="73"/>
        <v>49212.394</v>
      </c>
      <c r="AO74" s="160">
        <f t="shared" si="73"/>
        <v>287</v>
      </c>
      <c r="AP74" s="160">
        <f t="shared" si="73"/>
        <v>376849.2</v>
      </c>
      <c r="AQ74" s="160">
        <f t="shared" si="73"/>
        <v>378</v>
      </c>
      <c r="AR74" s="160">
        <f t="shared" si="73"/>
        <v>390074.4</v>
      </c>
      <c r="AS74" s="160">
        <f t="shared" si="73"/>
        <v>380</v>
      </c>
      <c r="AT74" s="160">
        <f t="shared" si="73"/>
        <v>515850</v>
      </c>
    </row>
    <row r="75" spans="2:46" ht="84.75" customHeight="1">
      <c r="B75" s="37" t="s">
        <v>188</v>
      </c>
      <c r="C75" s="37" t="s">
        <v>189</v>
      </c>
      <c r="D75" s="202" t="s">
        <v>190</v>
      </c>
      <c r="E75" s="31">
        <v>20</v>
      </c>
      <c r="F75" s="137">
        <f>1/90</f>
        <v>0.011111111111111112</v>
      </c>
      <c r="G75" s="31" t="s">
        <v>96</v>
      </c>
      <c r="H75" s="37" t="s">
        <v>191</v>
      </c>
      <c r="I75" s="41">
        <v>30</v>
      </c>
      <c r="J75" s="41">
        <v>30</v>
      </c>
      <c r="K75" s="41">
        <v>30</v>
      </c>
      <c r="L75" s="64">
        <f>ROUND(E75/60*$L$2/147.7*F75,2)</f>
        <v>1.09</v>
      </c>
      <c r="M75" s="64">
        <v>1</v>
      </c>
      <c r="N75" s="64">
        <v>1</v>
      </c>
      <c r="O75" s="64">
        <v>1</v>
      </c>
      <c r="P75" s="64">
        <f t="shared" si="21"/>
        <v>1.09</v>
      </c>
      <c r="Q75" s="64">
        <f t="shared" si="21"/>
        <v>1.09</v>
      </c>
      <c r="R75" s="64">
        <f>ROUND($L75*O75,2)</f>
        <v>1.09</v>
      </c>
      <c r="S75" s="141">
        <f aca="true" t="shared" si="74" ref="S75:U78">P75*I75</f>
        <v>32.7</v>
      </c>
      <c r="T75" s="141">
        <f t="shared" si="74"/>
        <v>32.7</v>
      </c>
      <c r="U75" s="141">
        <f t="shared" si="74"/>
        <v>32.7</v>
      </c>
      <c r="V75" s="141"/>
      <c r="W75" s="141"/>
      <c r="X75" s="141">
        <v>0</v>
      </c>
      <c r="Y75" s="141"/>
      <c r="AA75" s="109">
        <f>V75+L75</f>
        <v>1.09</v>
      </c>
      <c r="AB75" s="34">
        <f aca="true" t="shared" si="75" ref="AB75:AD78">W75+P75</f>
        <v>1.09</v>
      </c>
      <c r="AC75" s="34">
        <f t="shared" si="75"/>
        <v>1.09</v>
      </c>
      <c r="AD75" s="34">
        <f t="shared" si="75"/>
        <v>1.09</v>
      </c>
      <c r="AE75" s="36">
        <f t="shared" si="6"/>
        <v>0.2398</v>
      </c>
      <c r="AF75" s="34">
        <f t="shared" si="26"/>
        <v>0.43600000000000005</v>
      </c>
      <c r="AG75" s="34">
        <f t="shared" si="7"/>
        <v>0.49050000000000005</v>
      </c>
      <c r="AH75" s="34">
        <f t="shared" si="8"/>
        <v>0.2398</v>
      </c>
      <c r="AI75" s="208">
        <f>AE75+AA75</f>
        <v>1.3298</v>
      </c>
      <c r="AJ75" s="205">
        <f t="shared" si="10"/>
        <v>1.5260000000000002</v>
      </c>
      <c r="AK75" s="205">
        <f t="shared" si="11"/>
        <v>1.5805000000000002</v>
      </c>
      <c r="AL75" s="205">
        <f t="shared" si="12"/>
        <v>1.3298</v>
      </c>
      <c r="AM75" s="170">
        <v>284</v>
      </c>
      <c r="AN75" s="168">
        <f t="shared" si="71"/>
        <v>433.38400000000007</v>
      </c>
      <c r="AO75" s="185">
        <v>21</v>
      </c>
      <c r="AP75" s="170">
        <f>AO75*$S75</f>
        <v>686.7</v>
      </c>
      <c r="AQ75" s="170">
        <v>110</v>
      </c>
      <c r="AR75" s="170">
        <f>AQ75*$S75</f>
        <v>3597.0000000000005</v>
      </c>
      <c r="AS75" s="170">
        <v>120</v>
      </c>
      <c r="AT75" s="170">
        <f>AS75*$U75</f>
        <v>3924.0000000000005</v>
      </c>
    </row>
    <row r="76" spans="2:46" ht="88.5" customHeight="1">
      <c r="B76" s="26" t="s">
        <v>192</v>
      </c>
      <c r="C76" s="26" t="s">
        <v>193</v>
      </c>
      <c r="D76" s="191" t="s">
        <v>194</v>
      </c>
      <c r="E76" s="41">
        <v>15</v>
      </c>
      <c r="F76" s="137">
        <f>4/30</f>
        <v>0.13333333333333333</v>
      </c>
      <c r="G76" s="41" t="s">
        <v>90</v>
      </c>
      <c r="H76" s="26" t="s">
        <v>195</v>
      </c>
      <c r="I76" s="41">
        <v>30</v>
      </c>
      <c r="J76" s="41">
        <v>30</v>
      </c>
      <c r="K76" s="41">
        <v>30</v>
      </c>
      <c r="L76" s="142">
        <f>ROUND(E76/60*$H$1/147.7*F76,2)</f>
        <v>7.37</v>
      </c>
      <c r="M76" s="142">
        <v>5</v>
      </c>
      <c r="N76" s="142">
        <v>1</v>
      </c>
      <c r="O76" s="142">
        <v>5</v>
      </c>
      <c r="P76" s="142">
        <f t="shared" si="21"/>
        <v>36.85</v>
      </c>
      <c r="Q76" s="142">
        <f t="shared" si="21"/>
        <v>7.37</v>
      </c>
      <c r="R76" s="142">
        <f t="shared" si="21"/>
        <v>36.85</v>
      </c>
      <c r="S76" s="141">
        <f t="shared" si="74"/>
        <v>1105.5</v>
      </c>
      <c r="T76" s="141">
        <f t="shared" si="74"/>
        <v>221.1</v>
      </c>
      <c r="U76" s="141">
        <f t="shared" si="74"/>
        <v>1105.5</v>
      </c>
      <c r="V76" s="141"/>
      <c r="W76" s="141"/>
      <c r="X76" s="141">
        <v>0</v>
      </c>
      <c r="Y76" s="141"/>
      <c r="AA76" s="109">
        <f>V76+L76</f>
        <v>7.37</v>
      </c>
      <c r="AB76" s="34">
        <f t="shared" si="75"/>
        <v>36.85</v>
      </c>
      <c r="AC76" s="34">
        <f t="shared" si="75"/>
        <v>7.37</v>
      </c>
      <c r="AD76" s="34">
        <f t="shared" si="75"/>
        <v>36.85</v>
      </c>
      <c r="AE76" s="36">
        <f t="shared" si="6"/>
        <v>1.6214</v>
      </c>
      <c r="AF76" s="34">
        <f t="shared" si="26"/>
        <v>14.740000000000002</v>
      </c>
      <c r="AG76" s="34">
        <f t="shared" si="7"/>
        <v>3.3165</v>
      </c>
      <c r="AH76" s="34">
        <f t="shared" si="8"/>
        <v>8.107000000000001</v>
      </c>
      <c r="AI76" s="208">
        <f>AE76+AA76</f>
        <v>8.9914</v>
      </c>
      <c r="AJ76" s="205">
        <f t="shared" si="10"/>
        <v>51.59</v>
      </c>
      <c r="AK76" s="205">
        <f t="shared" si="11"/>
        <v>10.6865</v>
      </c>
      <c r="AL76" s="205">
        <f t="shared" si="12"/>
        <v>44.957</v>
      </c>
      <c r="AM76" s="170">
        <v>567</v>
      </c>
      <c r="AN76" s="168">
        <f t="shared" si="71"/>
        <v>29251.530000000002</v>
      </c>
      <c r="AO76" s="170">
        <v>115</v>
      </c>
      <c r="AP76" s="170">
        <f>AO76*$S76</f>
        <v>127132.5</v>
      </c>
      <c r="AQ76" s="170">
        <v>127</v>
      </c>
      <c r="AR76" s="170">
        <f>AQ76*$S76</f>
        <v>140398.5</v>
      </c>
      <c r="AS76" s="170">
        <v>120</v>
      </c>
      <c r="AT76" s="170">
        <f>AS76*$U76</f>
        <v>132660</v>
      </c>
    </row>
    <row r="77" spans="2:46" ht="94.5">
      <c r="B77" s="26" t="s">
        <v>196</v>
      </c>
      <c r="C77" s="26" t="s">
        <v>197</v>
      </c>
      <c r="D77" s="87" t="s">
        <v>198</v>
      </c>
      <c r="E77" s="41">
        <v>30</v>
      </c>
      <c r="F77" s="137">
        <f>1/90</f>
        <v>0.011111111111111112</v>
      </c>
      <c r="G77" s="41" t="s">
        <v>90</v>
      </c>
      <c r="H77" s="26" t="s">
        <v>199</v>
      </c>
      <c r="I77" s="41">
        <v>30</v>
      </c>
      <c r="J77" s="41">
        <v>30</v>
      </c>
      <c r="K77" s="41">
        <v>30</v>
      </c>
      <c r="L77" s="142">
        <f>ROUND(E77/60*$H$1/147.7*F77,2)</f>
        <v>1.23</v>
      </c>
      <c r="M77" s="142">
        <v>60</v>
      </c>
      <c r="N77" s="142">
        <v>1</v>
      </c>
      <c r="O77" s="142">
        <v>60</v>
      </c>
      <c r="P77" s="142">
        <f>ROUND($L77*M77,2)</f>
        <v>73.8</v>
      </c>
      <c r="Q77" s="142">
        <f t="shared" si="21"/>
        <v>1.23</v>
      </c>
      <c r="R77" s="142">
        <f>ROUND($L77*O77*W5,2)</f>
        <v>102.94</v>
      </c>
      <c r="S77" s="141">
        <f t="shared" si="74"/>
        <v>2214</v>
      </c>
      <c r="T77" s="141">
        <f t="shared" si="74"/>
        <v>36.9</v>
      </c>
      <c r="U77" s="108">
        <f t="shared" si="74"/>
        <v>3088.2</v>
      </c>
      <c r="V77" s="144"/>
      <c r="W77" s="141"/>
      <c r="X77" s="141">
        <v>0</v>
      </c>
      <c r="Y77" s="144"/>
      <c r="Z77" s="1" t="s">
        <v>144</v>
      </c>
      <c r="AA77" s="145">
        <f>V77+L77</f>
        <v>1.23</v>
      </c>
      <c r="AB77" s="34">
        <f t="shared" si="75"/>
        <v>73.8</v>
      </c>
      <c r="AC77" s="34">
        <f t="shared" si="75"/>
        <v>1.23</v>
      </c>
      <c r="AD77" s="34">
        <f t="shared" si="75"/>
        <v>102.94</v>
      </c>
      <c r="AE77" s="36">
        <f t="shared" si="6"/>
        <v>0.2706</v>
      </c>
      <c r="AF77" s="34">
        <f t="shared" si="26"/>
        <v>29.52</v>
      </c>
      <c r="AG77" s="34">
        <f t="shared" si="7"/>
        <v>0.5535</v>
      </c>
      <c r="AH77" s="34">
        <f t="shared" si="8"/>
        <v>22.6468</v>
      </c>
      <c r="AI77" s="208">
        <f>AE77+AA77</f>
        <v>1.5006</v>
      </c>
      <c r="AJ77" s="205">
        <f t="shared" si="10"/>
        <v>103.32</v>
      </c>
      <c r="AK77" s="205">
        <f t="shared" si="11"/>
        <v>1.7835</v>
      </c>
      <c r="AL77" s="205">
        <f t="shared" si="12"/>
        <v>125.5868</v>
      </c>
      <c r="AM77" s="170">
        <v>189</v>
      </c>
      <c r="AN77" s="168">
        <f t="shared" si="71"/>
        <v>19527.48</v>
      </c>
      <c r="AO77" s="170">
        <v>111</v>
      </c>
      <c r="AP77" s="170">
        <f>AO77*$S77</f>
        <v>245754</v>
      </c>
      <c r="AQ77" s="170">
        <v>110</v>
      </c>
      <c r="AR77" s="170">
        <f>AQ77*$S77</f>
        <v>243540</v>
      </c>
      <c r="AS77" s="170">
        <v>120</v>
      </c>
      <c r="AT77" s="170">
        <f>AS77*$U77</f>
        <v>370584</v>
      </c>
    </row>
    <row r="78" spans="2:46" ht="90" customHeight="1">
      <c r="B78" s="41" t="s">
        <v>200</v>
      </c>
      <c r="C78" s="26" t="s">
        <v>201</v>
      </c>
      <c r="D78" s="87" t="s">
        <v>202</v>
      </c>
      <c r="E78" s="41">
        <v>15</v>
      </c>
      <c r="F78" s="146">
        <f>18/365</f>
        <v>0.049315068493150684</v>
      </c>
      <c r="G78" s="41" t="s">
        <v>90</v>
      </c>
      <c r="H78" s="26" t="s">
        <v>91</v>
      </c>
      <c r="I78" s="45">
        <v>30</v>
      </c>
      <c r="J78" s="45">
        <v>30</v>
      </c>
      <c r="K78" s="45">
        <v>30</v>
      </c>
      <c r="L78" s="138">
        <f>ROUND(E78/60*$H$1/147.7*F78,2)</f>
        <v>2.73</v>
      </c>
      <c r="M78" s="138">
        <v>1</v>
      </c>
      <c r="N78" s="138">
        <v>1</v>
      </c>
      <c r="O78" s="138">
        <v>5.3</v>
      </c>
      <c r="P78" s="138">
        <f>ROUND($L78*M78,2)</f>
        <v>2.73</v>
      </c>
      <c r="Q78" s="138">
        <f t="shared" si="21"/>
        <v>2.73</v>
      </c>
      <c r="R78" s="109">
        <f>ROUND($L78*O78,2)</f>
        <v>14.47</v>
      </c>
      <c r="S78" s="141">
        <f t="shared" si="74"/>
        <v>81.9</v>
      </c>
      <c r="T78" s="141">
        <f t="shared" si="74"/>
        <v>81.9</v>
      </c>
      <c r="U78" s="141">
        <f t="shared" si="74"/>
        <v>434.1</v>
      </c>
      <c r="V78" s="45"/>
      <c r="W78" s="45"/>
      <c r="X78" s="141"/>
      <c r="Y78" s="45"/>
      <c r="AA78" s="95">
        <f>V78+L78</f>
        <v>2.73</v>
      </c>
      <c r="AB78" s="34">
        <f t="shared" si="75"/>
        <v>2.73</v>
      </c>
      <c r="AC78" s="34">
        <f t="shared" si="75"/>
        <v>2.73</v>
      </c>
      <c r="AD78" s="34">
        <f t="shared" si="75"/>
        <v>14.47</v>
      </c>
      <c r="AE78" s="36">
        <f t="shared" si="6"/>
        <v>0.6006</v>
      </c>
      <c r="AF78" s="34">
        <f t="shared" si="26"/>
        <v>1.092</v>
      </c>
      <c r="AG78" s="34">
        <f t="shared" si="7"/>
        <v>1.2285</v>
      </c>
      <c r="AH78" s="34">
        <f t="shared" si="8"/>
        <v>3.1834000000000002</v>
      </c>
      <c r="AI78" s="208">
        <f>AE78+AA78</f>
        <v>3.3306</v>
      </c>
      <c r="AJ78" s="205">
        <f t="shared" si="10"/>
        <v>3.822</v>
      </c>
      <c r="AK78" s="205">
        <f t="shared" si="11"/>
        <v>3.9585</v>
      </c>
      <c r="AL78" s="205">
        <f t="shared" si="12"/>
        <v>17.6534</v>
      </c>
      <c r="AM78" s="170">
        <v>0</v>
      </c>
      <c r="AN78" s="168">
        <f t="shared" si="71"/>
        <v>0</v>
      </c>
      <c r="AO78" s="170">
        <v>40</v>
      </c>
      <c r="AP78" s="170">
        <f>AO78*$S78</f>
        <v>3276</v>
      </c>
      <c r="AQ78" s="170">
        <v>31</v>
      </c>
      <c r="AR78" s="170">
        <f>AQ78*$S78</f>
        <v>2538.9</v>
      </c>
      <c r="AS78" s="170">
        <v>20</v>
      </c>
      <c r="AT78" s="170">
        <f>AS78*$U78</f>
        <v>8682</v>
      </c>
    </row>
    <row r="79" spans="2:46" ht="15.75">
      <c r="B79" s="180"/>
      <c r="C79" s="180"/>
      <c r="D79" s="203"/>
      <c r="E79" s="180"/>
      <c r="F79" s="180" t="s">
        <v>212</v>
      </c>
      <c r="G79" s="180"/>
      <c r="H79" s="180"/>
      <c r="I79" s="180"/>
      <c r="J79" s="148"/>
      <c r="K79" s="149"/>
      <c r="L79" s="150" t="s">
        <v>204</v>
      </c>
      <c r="M79" s="150" t="s">
        <v>204</v>
      </c>
      <c r="N79" s="150"/>
      <c r="O79" s="150"/>
      <c r="P79" s="150" t="s">
        <v>204</v>
      </c>
      <c r="Q79" s="150"/>
      <c r="R79" s="150"/>
      <c r="S79" s="3">
        <f>S9+S31+S55+S58+S64+S70+S74</f>
        <v>32327.7</v>
      </c>
      <c r="T79" s="3">
        <f>T9+T31+T55+T58+T64+T70+T74</f>
        <v>20752.800000000003</v>
      </c>
      <c r="U79" s="3">
        <f>U9+U31+U55+U58+U64+U70+U74</f>
        <v>52981.950000000004</v>
      </c>
      <c r="V79" s="3"/>
      <c r="W79" s="3">
        <f>W9+W31+W55+W58+W64+W70+W74</f>
        <v>222.0810136986301</v>
      </c>
      <c r="X79" s="3">
        <f>X9+X31+X55+X58+X64+X70+X74</f>
        <v>255.27101369863013</v>
      </c>
      <c r="Y79" s="3">
        <f>Y9+Y31+Y55+Y58+Y64+Y70+Y74</f>
        <v>276.32101369863017</v>
      </c>
      <c r="Z79" s="3"/>
      <c r="AA79" s="206">
        <f>AA9+AA31+AA55+AA58+AA64+AA70+AA74</f>
        <v>1242.2510136986302</v>
      </c>
      <c r="AB79" s="206">
        <f>AB9+AB31+AB55+AB58+AB64+AB70+AB74</f>
        <v>1298.01101369863</v>
      </c>
      <c r="AC79" s="206">
        <f>AC9+AC31+AC55+AC58+AC64+AC70+AC74</f>
        <v>945.3710136986302</v>
      </c>
      <c r="AD79" s="206">
        <f>AD9+AD31+AD55+AD58+AD64+AD70+AD74</f>
        <v>2040.31101369863</v>
      </c>
      <c r="AE79" s="206">
        <f>AE9+AE31+AE55+AE58+AE64+AE70+AE74</f>
        <v>273.2952230136986</v>
      </c>
      <c r="AF79" s="206">
        <f aca="true" t="shared" si="76" ref="AF79:AL79">AF9+AF31+AF55+AF58+AF64+AF70+AF74</f>
        <v>519.204405479452</v>
      </c>
      <c r="AG79" s="206">
        <f t="shared" si="76"/>
        <v>425.4169561643836</v>
      </c>
      <c r="AH79" s="206">
        <f>AH9+AH31+AH55+AH58+AH64+AH70+AH74</f>
        <v>448.8684230136986</v>
      </c>
      <c r="AI79" s="206">
        <f>AI9+AI31+AI55+AI58+AI64+AI70+AI74</f>
        <v>1515.5462367123287</v>
      </c>
      <c r="AJ79" s="209">
        <f>AJ9+AJ31+AJ55+AJ58+AJ64+AJ70+AJ74</f>
        <v>1817.2154191780824</v>
      </c>
      <c r="AK79" s="209">
        <f t="shared" si="76"/>
        <v>1370.7879698630138</v>
      </c>
      <c r="AL79" s="209">
        <f t="shared" si="76"/>
        <v>2489.1794367123284</v>
      </c>
      <c r="AM79" s="3">
        <f>AM9+AM31+AM55+AM58+AM64+AM70+AM74</f>
        <v>11530</v>
      </c>
      <c r="AN79" s="3">
        <f>AN9+AN31+AN55+AN58+AN64+AN70+AN74</f>
        <v>860501.9986739726</v>
      </c>
      <c r="AO79" s="3"/>
      <c r="AP79" s="3">
        <f>AP9+AP31+AP55+AP58+AP64+AP70+AP74</f>
        <v>3330273.6</v>
      </c>
      <c r="AQ79" s="3"/>
      <c r="AR79" s="3">
        <f>AR9+AR31+AR55+AR58+AR64+AR70+AR74</f>
        <v>3607011.8999999994</v>
      </c>
      <c r="AS79" s="3"/>
      <c r="AT79" s="3">
        <f>AT9+AT31+AT55+AT58+AT64+AT70+AT74</f>
        <v>5973336</v>
      </c>
    </row>
    <row r="80" spans="2:46" ht="30">
      <c r="B80" s="149"/>
      <c r="C80" s="149"/>
      <c r="D80" s="204"/>
      <c r="E80" s="149"/>
      <c r="F80" s="149"/>
      <c r="G80" s="149"/>
      <c r="H80" s="149"/>
      <c r="I80" s="149"/>
      <c r="J80" s="149"/>
      <c r="K80" s="149"/>
      <c r="L80" s="152" t="s">
        <v>205</v>
      </c>
      <c r="M80" s="152" t="s">
        <v>205</v>
      </c>
      <c r="N80" s="152"/>
      <c r="O80" s="152"/>
      <c r="P80" s="152" t="s">
        <v>205</v>
      </c>
      <c r="Q80" s="152"/>
      <c r="R80" s="152"/>
      <c r="S80" s="3">
        <f>S79*12</f>
        <v>387932.4</v>
      </c>
      <c r="T80" s="3">
        <f>T79*12</f>
        <v>249033.60000000003</v>
      </c>
      <c r="U80" s="3">
        <f>U79*12</f>
        <v>635783.4</v>
      </c>
      <c r="V80" s="3"/>
      <c r="W80" s="3">
        <f>W79*12</f>
        <v>2664.972164383561</v>
      </c>
      <c r="X80" s="3">
        <f>X79*12</f>
        <v>3063.2521643835616</v>
      </c>
      <c r="Y80" s="3">
        <f>Y79*12</f>
        <v>3315.852164383562</v>
      </c>
      <c r="AA80" s="5"/>
      <c r="AB80" s="3">
        <f>AB79*12</f>
        <v>15576.13216438356</v>
      </c>
      <c r="AC80" s="3">
        <f>AC79*12</f>
        <v>11344.452164383563</v>
      </c>
      <c r="AD80" s="3">
        <f>AD79*12</f>
        <v>24483.73216438356</v>
      </c>
      <c r="AE80" s="5"/>
      <c r="AF80" s="3"/>
      <c r="AG80" s="3"/>
      <c r="AH80" s="3"/>
      <c r="AI80" s="3"/>
      <c r="AJ80" s="3"/>
      <c r="AK80" s="3"/>
      <c r="AL80" s="3"/>
      <c r="AM80" s="3"/>
      <c r="AN80" s="3">
        <f>AN79*365</f>
        <v>314083229.516</v>
      </c>
      <c r="AO80" s="3"/>
      <c r="AP80" s="3">
        <f>AP79*12</f>
        <v>39963283.2</v>
      </c>
      <c r="AQ80" s="3"/>
      <c r="AR80" s="3">
        <f>AR79*12</f>
        <v>43284142.8</v>
      </c>
      <c r="AS80" s="3"/>
      <c r="AT80" s="3">
        <f>AT79*12</f>
        <v>71680032</v>
      </c>
    </row>
    <row r="81" spans="11:46" ht="45">
      <c r="K81" s="153"/>
      <c r="L81" s="152" t="s">
        <v>206</v>
      </c>
      <c r="M81" s="152" t="s">
        <v>206</v>
      </c>
      <c r="N81" s="152"/>
      <c r="O81" s="152"/>
      <c r="P81" s="152" t="s">
        <v>206</v>
      </c>
      <c r="Q81" s="152"/>
      <c r="R81" s="152"/>
      <c r="S81" s="63">
        <v>567</v>
      </c>
      <c r="T81" s="63">
        <v>390</v>
      </c>
      <c r="U81" s="63">
        <v>120</v>
      </c>
      <c r="V81" s="63"/>
      <c r="W81" s="63">
        <v>115</v>
      </c>
      <c r="X81" s="63">
        <v>390</v>
      </c>
      <c r="Y81" s="63">
        <v>120</v>
      </c>
      <c r="Z81" s="1" t="s">
        <v>207</v>
      </c>
      <c r="AA81" s="20"/>
      <c r="AB81" s="63">
        <v>115</v>
      </c>
      <c r="AC81" s="63">
        <v>390</v>
      </c>
      <c r="AD81" s="63">
        <v>120</v>
      </c>
      <c r="AE81" s="20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</row>
    <row r="82" spans="12:46" ht="15" customHeight="1">
      <c r="L82" s="63"/>
      <c r="M82" s="63"/>
      <c r="N82" s="63"/>
      <c r="O82" s="63"/>
      <c r="P82" s="63"/>
      <c r="Q82" s="63"/>
      <c r="R82" s="63"/>
      <c r="S82" s="3">
        <f>S80*S81</f>
        <v>219957670.8</v>
      </c>
      <c r="T82" s="3">
        <f>T80*T81</f>
        <v>97123104.00000001</v>
      </c>
      <c r="U82" s="3">
        <f>U80*U81</f>
        <v>76294008</v>
      </c>
      <c r="V82" s="3"/>
      <c r="W82" s="3"/>
      <c r="X82" s="3"/>
      <c r="Y82" s="3"/>
      <c r="AA82" s="5"/>
      <c r="AB82" s="3"/>
      <c r="AC82" s="3"/>
      <c r="AD82" s="3"/>
      <c r="AE82" s="5"/>
      <c r="AF82" s="3"/>
      <c r="AG82" s="3"/>
      <c r="AH82" s="3"/>
      <c r="AI82" s="3"/>
      <c r="AJ82" s="3"/>
      <c r="AK82" s="3"/>
      <c r="AL82" s="3"/>
      <c r="AM82" s="3"/>
      <c r="AN82" s="3">
        <v>179439800</v>
      </c>
      <c r="AO82" s="3"/>
      <c r="AP82" s="3">
        <v>43877200</v>
      </c>
      <c r="AQ82" s="3"/>
      <c r="AR82" s="3">
        <f>37611400+2032726.44</f>
        <v>39644126.44</v>
      </c>
      <c r="AS82" s="3"/>
      <c r="AT82" s="3">
        <v>72473380.16</v>
      </c>
    </row>
    <row r="83" spans="12:46" ht="15" customHeight="1">
      <c r="L83" s="63"/>
      <c r="M83" s="63"/>
      <c r="N83" s="63"/>
      <c r="O83" s="63"/>
      <c r="P83" s="63"/>
      <c r="Q83" s="63"/>
      <c r="R83" s="63"/>
      <c r="S83" s="3">
        <v>179439800</v>
      </c>
      <c r="T83" s="3">
        <v>68726970</v>
      </c>
      <c r="U83" s="3">
        <v>72473380.16</v>
      </c>
      <c r="V83" s="3"/>
      <c r="W83" s="3"/>
      <c r="X83" s="3"/>
      <c r="Y83" s="3"/>
      <c r="AA83" s="5"/>
      <c r="AB83" s="3"/>
      <c r="AC83" s="3"/>
      <c r="AD83" s="3"/>
      <c r="AE83" s="5"/>
      <c r="AF83" s="3"/>
      <c r="AG83" s="3"/>
      <c r="AH83" s="3"/>
      <c r="AI83" s="3"/>
      <c r="AJ83" s="3"/>
      <c r="AK83" s="3"/>
      <c r="AL83" s="3"/>
      <c r="AM83" s="3"/>
      <c r="AN83" s="3">
        <f>AN80-AN82</f>
        <v>134643429.51599997</v>
      </c>
      <c r="AO83" s="3"/>
      <c r="AP83" s="3">
        <f>AP80-AP82</f>
        <v>-3913916.799999997</v>
      </c>
      <c r="AQ83" s="3"/>
      <c r="AR83" s="3">
        <f>AR80-AR82</f>
        <v>3640016.3599999994</v>
      </c>
      <c r="AS83" s="3"/>
      <c r="AT83" s="3">
        <f>AT80-AT82</f>
        <v>-793348.1599999964</v>
      </c>
    </row>
    <row r="84" spans="19:38" ht="15" customHeight="1">
      <c r="S84" s="154">
        <f>S82-S83</f>
        <v>40517870.80000001</v>
      </c>
      <c r="T84" s="154">
        <f>T82-T83</f>
        <v>28396134.000000015</v>
      </c>
      <c r="U84" s="154">
        <f>U82-U83</f>
        <v>3820627.8400000036</v>
      </c>
      <c r="V84" s="154"/>
      <c r="W84" s="154"/>
      <c r="X84" s="154"/>
      <c r="Y84" s="154"/>
      <c r="AA84" s="155"/>
      <c r="AB84" s="155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</row>
    <row r="85" spans="19:38" ht="15" customHeight="1">
      <c r="S85" s="154"/>
      <c r="T85" s="154"/>
      <c r="U85" s="154"/>
      <c r="V85" s="154"/>
      <c r="Y85" s="154"/>
      <c r="AA85" s="155"/>
      <c r="AB85" s="155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</row>
    <row r="86" spans="19:38" ht="15">
      <c r="S86" s="154"/>
      <c r="T86" s="154"/>
      <c r="U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</row>
  </sheetData>
  <sheetProtection sort="0" autoFilter="0"/>
  <autoFilter ref="B8:X84"/>
  <mergeCells count="86">
    <mergeCell ref="B45:B47"/>
    <mergeCell ref="B10:B15"/>
    <mergeCell ref="C10:C15"/>
    <mergeCell ref="I10:I15"/>
    <mergeCell ref="C32:C42"/>
    <mergeCell ref="B20:B29"/>
    <mergeCell ref="C20:C29"/>
    <mergeCell ref="B67:B69"/>
    <mergeCell ref="C67:C69"/>
    <mergeCell ref="B59:B61"/>
    <mergeCell ref="C59:C61"/>
    <mergeCell ref="S7:U7"/>
    <mergeCell ref="K10:K15"/>
    <mergeCell ref="J10:J15"/>
    <mergeCell ref="D10:D11"/>
    <mergeCell ref="H10:H15"/>
    <mergeCell ref="F10:F15"/>
    <mergeCell ref="E10:E15"/>
    <mergeCell ref="G10:G15"/>
    <mergeCell ref="B48:B52"/>
    <mergeCell ref="B32:B42"/>
    <mergeCell ref="C45:C47"/>
    <mergeCell ref="B43:B44"/>
    <mergeCell ref="V6:V8"/>
    <mergeCell ref="W10:W15"/>
    <mergeCell ref="AA6:AA8"/>
    <mergeCell ref="C48:C52"/>
    <mergeCell ref="AK10:AK15"/>
    <mergeCell ref="P7:R7"/>
    <mergeCell ref="M7:O7"/>
    <mergeCell ref="AI10:AI15"/>
    <mergeCell ref="AJ6:AL6"/>
    <mergeCell ref="C43:C44"/>
    <mergeCell ref="AC10:AC15"/>
    <mergeCell ref="X10:X15"/>
    <mergeCell ref="AF6:AH6"/>
    <mergeCell ref="AI6:AI8"/>
    <mergeCell ref="AF7:AH7"/>
    <mergeCell ref="AF10:AF15"/>
    <mergeCell ref="AM6:AT6"/>
    <mergeCell ref="AS10:AS15"/>
    <mergeCell ref="AN10:AN15"/>
    <mergeCell ref="AJ10:AJ15"/>
    <mergeCell ref="AE6:AE8"/>
    <mergeCell ref="AR10:AR15"/>
    <mergeCell ref="AJ7:AL7"/>
    <mergeCell ref="AM7:AT7"/>
    <mergeCell ref="AS8:AT8"/>
    <mergeCell ref="AT10:AT15"/>
    <mergeCell ref="AP10:AP15"/>
    <mergeCell ref="AL10:AL15"/>
    <mergeCell ref="AM8:AN8"/>
    <mergeCell ref="AM10:AM15"/>
    <mergeCell ref="AQ10:AQ15"/>
    <mergeCell ref="AQ8:AR8"/>
    <mergeCell ref="B5:I5"/>
    <mergeCell ref="B6:B8"/>
    <mergeCell ref="C6:C8"/>
    <mergeCell ref="D6:H7"/>
    <mergeCell ref="I6:K6"/>
    <mergeCell ref="AO8:AP8"/>
    <mergeCell ref="AB7:AD7"/>
    <mergeCell ref="AO10:AO15"/>
    <mergeCell ref="AG10:AG15"/>
    <mergeCell ref="AH10:AH15"/>
    <mergeCell ref="AE10:AE15"/>
    <mergeCell ref="S6:U6"/>
    <mergeCell ref="L6:R6"/>
    <mergeCell ref="P10:P15"/>
    <mergeCell ref="O10:O15"/>
    <mergeCell ref="N10:N15"/>
    <mergeCell ref="M10:M15"/>
    <mergeCell ref="L10:L15"/>
    <mergeCell ref="Q10:Q15"/>
    <mergeCell ref="W6:Y6"/>
    <mergeCell ref="AB6:AD6"/>
    <mergeCell ref="AD10:AD15"/>
    <mergeCell ref="AB10:AB15"/>
    <mergeCell ref="AA10:AA15"/>
    <mergeCell ref="Y10:Y15"/>
    <mergeCell ref="W7:Y7"/>
    <mergeCell ref="V10:V15"/>
    <mergeCell ref="R10:R15"/>
    <mergeCell ref="S10:S15"/>
    <mergeCell ref="U10:U15"/>
    <mergeCell ref="T10:T15"/>
  </mergeCells>
  <printOptions/>
  <pageMargins left="0.11811023622047245" right="0.31496062992125984" top="0.35433070866141736" bottom="0.35433070866141736" header="0.31496062992125984" footer="0.31496062992125984"/>
  <pageSetup fitToHeight="6" fitToWidth="1" horizontalDpi="600" verticalDpi="600" orientation="landscape" paperSize="8" scale="3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87"/>
  <sheetViews>
    <sheetView view="pageBreakPreview" zoomScale="80" zoomScaleNormal="75" zoomScaleSheetLayoutView="80" zoomScalePageLayoutView="0" workbookViewId="0" topLeftCell="B1">
      <pane xSplit="2" ySplit="8" topLeftCell="O7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E76" sqref="AE76"/>
    </sheetView>
  </sheetViews>
  <sheetFormatPr defaultColWidth="9.140625" defaultRowHeight="15"/>
  <cols>
    <col min="1" max="1" width="9.140625" style="1" customWidth="1"/>
    <col min="2" max="2" width="7.421875" style="1" customWidth="1"/>
    <col min="3" max="3" width="42.8515625" style="1" customWidth="1"/>
    <col min="4" max="4" width="71.140625" style="1" customWidth="1"/>
    <col min="5" max="6" width="19.28125" style="1" customWidth="1"/>
    <col min="7" max="7" width="20.00390625" style="1" customWidth="1"/>
    <col min="8" max="8" width="21.28125" style="1" customWidth="1"/>
    <col min="9" max="9" width="17.421875" style="1" customWidth="1"/>
    <col min="10" max="10" width="17.57421875" style="1" customWidth="1"/>
    <col min="11" max="11" width="13.57421875" style="1" customWidth="1"/>
    <col min="12" max="18" width="14.421875" style="1" customWidth="1"/>
    <col min="19" max="19" width="18.7109375" style="1" customWidth="1"/>
    <col min="20" max="20" width="16.8515625" style="1" customWidth="1"/>
    <col min="21" max="21" width="17.28125" style="1" customWidth="1"/>
    <col min="22" max="22" width="20.57421875" style="1" hidden="1" customWidth="1"/>
    <col min="23" max="23" width="15.140625" style="1" hidden="1" customWidth="1"/>
    <col min="24" max="24" width="16.57421875" style="1" hidden="1" customWidth="1"/>
    <col min="25" max="25" width="16.7109375" style="1" hidden="1" customWidth="1"/>
    <col min="26" max="26" width="9.140625" style="1" hidden="1" customWidth="1"/>
    <col min="27" max="28" width="20.57421875" style="7" hidden="1" customWidth="1"/>
    <col min="29" max="29" width="16.421875" style="1" customWidth="1"/>
    <col min="30" max="30" width="20.140625" style="1" customWidth="1"/>
    <col min="31" max="31" width="17.28125" style="1" customWidth="1"/>
    <col min="32" max="32" width="18.57421875" style="1" customWidth="1"/>
    <col min="33" max="33" width="14.00390625" style="1" customWidth="1"/>
    <col min="34" max="34" width="20.421875" style="1" customWidth="1"/>
    <col min="35" max="35" width="14.00390625" style="1" customWidth="1"/>
    <col min="36" max="16384" width="9.140625" style="1" customWidth="1"/>
  </cols>
  <sheetData>
    <row r="1" spans="7:31" ht="45">
      <c r="G1" s="2" t="s">
        <v>0</v>
      </c>
      <c r="H1" s="3">
        <v>32670</v>
      </c>
      <c r="I1" s="2" t="s">
        <v>1</v>
      </c>
      <c r="J1" s="3">
        <f>25114*1.302</f>
        <v>32698.428</v>
      </c>
      <c r="K1" s="2" t="s">
        <v>2</v>
      </c>
      <c r="L1" s="4">
        <f>22673*1.302</f>
        <v>29520.246000000003</v>
      </c>
      <c r="M1" s="3"/>
      <c r="N1" s="3"/>
      <c r="O1" s="3"/>
      <c r="P1" s="3"/>
      <c r="Q1" s="3"/>
      <c r="R1" s="3"/>
      <c r="S1" s="2" t="s">
        <v>3</v>
      </c>
      <c r="T1" s="3">
        <v>35453.3386</v>
      </c>
      <c r="U1" s="1" t="s">
        <v>4</v>
      </c>
      <c r="V1" s="3">
        <f>16735</f>
        <v>16735</v>
      </c>
      <c r="W1" s="3">
        <v>1.302</v>
      </c>
      <c r="AA1" s="5">
        <v>16735</v>
      </c>
      <c r="AB1" s="5">
        <v>16735</v>
      </c>
      <c r="AC1" s="2" t="s">
        <v>3</v>
      </c>
      <c r="AD1" s="3">
        <v>35453.3386</v>
      </c>
      <c r="AE1" s="1" t="s">
        <v>4</v>
      </c>
    </row>
    <row r="2" spans="7:31" ht="60">
      <c r="G2" s="2" t="s">
        <v>5</v>
      </c>
      <c r="H2" s="3">
        <v>22176.52</v>
      </c>
      <c r="I2" s="2" t="s">
        <v>6</v>
      </c>
      <c r="J2" s="3">
        <f>35000*1.302</f>
        <v>45570</v>
      </c>
      <c r="K2" s="2" t="s">
        <v>7</v>
      </c>
      <c r="L2" s="4">
        <f>33337.5*1.302</f>
        <v>43405.425</v>
      </c>
      <c r="M2" s="3"/>
      <c r="N2" s="3"/>
      <c r="O2" s="3"/>
      <c r="P2" s="3"/>
      <c r="Q2" s="3"/>
      <c r="R2" s="3"/>
      <c r="S2" s="2" t="s">
        <v>8</v>
      </c>
      <c r="T2" s="3">
        <v>22066</v>
      </c>
      <c r="U2" s="6" t="s">
        <v>9</v>
      </c>
      <c r="W2" s="1">
        <f>J2/H3</f>
        <v>2.0136986301369864</v>
      </c>
      <c r="AC2" s="2" t="s">
        <v>8</v>
      </c>
      <c r="AD2" s="3">
        <v>22066</v>
      </c>
      <c r="AE2" s="6" t="s">
        <v>9</v>
      </c>
    </row>
    <row r="3" spans="7:31" ht="54.75" customHeight="1">
      <c r="G3" s="2" t="s">
        <v>10</v>
      </c>
      <c r="H3" s="3">
        <v>22630</v>
      </c>
      <c r="I3" s="2" t="s">
        <v>11</v>
      </c>
      <c r="J3" s="3">
        <v>39897.34664</v>
      </c>
      <c r="K3" s="2" t="s">
        <v>12</v>
      </c>
      <c r="L3" s="4">
        <f>57390*1.302</f>
        <v>74721.78</v>
      </c>
      <c r="M3" s="3"/>
      <c r="N3" s="3"/>
      <c r="O3" s="3"/>
      <c r="P3" s="3"/>
      <c r="Q3" s="3"/>
      <c r="R3" s="3"/>
      <c r="S3" s="2" t="s">
        <v>13</v>
      </c>
      <c r="T3" s="3">
        <v>22630</v>
      </c>
      <c r="U3" s="6" t="s">
        <v>14</v>
      </c>
      <c r="W3" s="1">
        <f>J2/J3</f>
        <v>1.1421812184951856</v>
      </c>
      <c r="AC3" s="2" t="s">
        <v>13</v>
      </c>
      <c r="AD3" s="3">
        <v>22630</v>
      </c>
      <c r="AE3" s="6" t="s">
        <v>14</v>
      </c>
    </row>
    <row r="4" spans="21:31" ht="15">
      <c r="U4" s="1" t="s">
        <v>15</v>
      </c>
      <c r="W4" s="1">
        <f>J2/H2</f>
        <v>2.0548760581010908</v>
      </c>
      <c r="AE4" s="1" t="s">
        <v>15</v>
      </c>
    </row>
    <row r="5" spans="2:31" ht="36" customHeight="1">
      <c r="B5" s="403" t="s">
        <v>16</v>
      </c>
      <c r="C5" s="403"/>
      <c r="D5" s="403"/>
      <c r="E5" s="403"/>
      <c r="F5" s="403"/>
      <c r="G5" s="403"/>
      <c r="H5" s="403"/>
      <c r="I5" s="403"/>
      <c r="J5" s="8"/>
      <c r="K5" s="8"/>
      <c r="U5" s="1" t="s">
        <v>17</v>
      </c>
      <c r="W5" s="1">
        <f>J2/H1</f>
        <v>1.3948576675849402</v>
      </c>
      <c r="AE5" s="1" t="s">
        <v>17</v>
      </c>
    </row>
    <row r="6" spans="2:31" ht="36" customHeight="1">
      <c r="B6" s="390" t="s">
        <v>18</v>
      </c>
      <c r="C6" s="390" t="s">
        <v>19</v>
      </c>
      <c r="D6" s="404" t="s">
        <v>20</v>
      </c>
      <c r="E6" s="405"/>
      <c r="F6" s="405"/>
      <c r="G6" s="405"/>
      <c r="H6" s="406"/>
      <c r="I6" s="390" t="s">
        <v>21</v>
      </c>
      <c r="J6" s="390"/>
      <c r="K6" s="394"/>
      <c r="L6" s="397" t="s">
        <v>22</v>
      </c>
      <c r="M6" s="397"/>
      <c r="N6" s="397"/>
      <c r="O6" s="397"/>
      <c r="P6" s="397"/>
      <c r="Q6" s="397"/>
      <c r="R6" s="397"/>
      <c r="S6" s="390" t="s">
        <v>23</v>
      </c>
      <c r="T6" s="390"/>
      <c r="U6" s="390"/>
      <c r="V6" s="423" t="s">
        <v>24</v>
      </c>
      <c r="W6" s="390" t="s">
        <v>23</v>
      </c>
      <c r="X6" s="390"/>
      <c r="Y6" s="390"/>
      <c r="AA6" s="417" t="s">
        <v>25</v>
      </c>
      <c r="AB6" s="417" t="s">
        <v>26</v>
      </c>
      <c r="AC6" s="410" t="s">
        <v>208</v>
      </c>
      <c r="AD6" s="410"/>
      <c r="AE6" s="410"/>
    </row>
    <row r="7" spans="2:31" ht="36" customHeight="1">
      <c r="B7" s="390"/>
      <c r="C7" s="390"/>
      <c r="D7" s="407"/>
      <c r="E7" s="408"/>
      <c r="F7" s="408"/>
      <c r="G7" s="408"/>
      <c r="H7" s="409"/>
      <c r="I7" s="9"/>
      <c r="J7" s="9"/>
      <c r="K7" s="10"/>
      <c r="L7" s="11"/>
      <c r="M7" s="397" t="s">
        <v>27</v>
      </c>
      <c r="N7" s="397"/>
      <c r="O7" s="397"/>
      <c r="P7" s="397" t="s">
        <v>28</v>
      </c>
      <c r="Q7" s="397"/>
      <c r="R7" s="397"/>
      <c r="S7" s="394" t="s">
        <v>29</v>
      </c>
      <c r="T7" s="395"/>
      <c r="U7" s="396"/>
      <c r="V7" s="424"/>
      <c r="W7" s="394" t="s">
        <v>30</v>
      </c>
      <c r="X7" s="395"/>
      <c r="Y7" s="396"/>
      <c r="AA7" s="418"/>
      <c r="AB7" s="418"/>
      <c r="AC7" s="398" t="s">
        <v>209</v>
      </c>
      <c r="AD7" s="454"/>
      <c r="AE7" s="399"/>
    </row>
    <row r="8" spans="2:34" s="15" customFormat="1" ht="86.25" customHeight="1">
      <c r="B8" s="390"/>
      <c r="C8" s="390"/>
      <c r="D8" s="12"/>
      <c r="E8" s="13" t="s">
        <v>31</v>
      </c>
      <c r="F8" s="13" t="s">
        <v>32</v>
      </c>
      <c r="G8" s="12"/>
      <c r="H8" s="13" t="s">
        <v>33</v>
      </c>
      <c r="I8" s="9" t="s">
        <v>34</v>
      </c>
      <c r="J8" s="9" t="s">
        <v>35</v>
      </c>
      <c r="K8" s="10" t="s">
        <v>36</v>
      </c>
      <c r="L8" s="14" t="s">
        <v>37</v>
      </c>
      <c r="M8" s="14" t="s">
        <v>34</v>
      </c>
      <c r="N8" s="14" t="s">
        <v>38</v>
      </c>
      <c r="O8" s="14" t="s">
        <v>36</v>
      </c>
      <c r="P8" s="14" t="s">
        <v>34</v>
      </c>
      <c r="Q8" s="14" t="s">
        <v>38</v>
      </c>
      <c r="R8" s="14" t="s">
        <v>36</v>
      </c>
      <c r="S8" s="9" t="s">
        <v>34</v>
      </c>
      <c r="T8" s="9" t="s">
        <v>38</v>
      </c>
      <c r="U8" s="9" t="s">
        <v>36</v>
      </c>
      <c r="V8" s="425"/>
      <c r="W8" s="9" t="s">
        <v>34</v>
      </c>
      <c r="X8" s="9" t="s">
        <v>38</v>
      </c>
      <c r="Y8" s="9" t="s">
        <v>36</v>
      </c>
      <c r="AA8" s="419"/>
      <c r="AB8" s="419"/>
      <c r="AC8" s="398" t="s">
        <v>214</v>
      </c>
      <c r="AD8" s="399"/>
      <c r="AE8" s="398" t="s">
        <v>215</v>
      </c>
      <c r="AF8" s="399"/>
      <c r="AG8" s="398" t="s">
        <v>216</v>
      </c>
      <c r="AH8" s="399"/>
    </row>
    <row r="9" spans="2:34" ht="21" customHeight="1">
      <c r="B9" s="16" t="s">
        <v>39</v>
      </c>
      <c r="C9" s="17"/>
      <c r="D9" s="18"/>
      <c r="E9" s="18"/>
      <c r="F9" s="18"/>
      <c r="G9" s="18"/>
      <c r="H9" s="18"/>
      <c r="I9" s="19"/>
      <c r="J9" s="8"/>
      <c r="K9" s="8"/>
      <c r="L9" s="20"/>
      <c r="M9" s="20"/>
      <c r="N9" s="20"/>
      <c r="O9" s="20"/>
      <c r="P9" s="20"/>
      <c r="Q9" s="20"/>
      <c r="R9" s="20"/>
      <c r="S9" s="21">
        <f>S10+S16+S17+S18+S19+S20+S30</f>
        <v>15271.8</v>
      </c>
      <c r="T9" s="21">
        <f>T10+T16+T17+T18+T19+T20+T30</f>
        <v>15271.8</v>
      </c>
      <c r="U9" s="21">
        <f>U10+U16+U17+U18+U19+U20+U30</f>
        <v>17443.050000000003</v>
      </c>
      <c r="V9" s="22"/>
      <c r="W9" s="22"/>
      <c r="X9" s="22"/>
      <c r="Y9" s="22"/>
      <c r="AA9" s="23"/>
      <c r="AB9" s="23"/>
      <c r="AC9" s="156">
        <f aca="true" t="shared" si="0" ref="AC9:AH9">AC10+AC16+AC17+AC18+AC19+AC20+AC30</f>
        <v>1682</v>
      </c>
      <c r="AD9" s="156">
        <f t="shared" si="0"/>
        <v>4679754.3</v>
      </c>
      <c r="AE9" s="156">
        <f t="shared" si="0"/>
        <v>340</v>
      </c>
      <c r="AF9" s="156">
        <f t="shared" si="0"/>
        <v>739573.2000000001</v>
      </c>
      <c r="AG9" s="156">
        <f t="shared" si="0"/>
        <v>136</v>
      </c>
      <c r="AH9" s="156">
        <f t="shared" si="0"/>
        <v>324911.7</v>
      </c>
    </row>
    <row r="10" spans="2:34" ht="31.5" customHeight="1">
      <c r="B10" s="387" t="s">
        <v>40</v>
      </c>
      <c r="C10" s="446" t="s">
        <v>41</v>
      </c>
      <c r="D10" s="439" t="s">
        <v>42</v>
      </c>
      <c r="E10" s="443">
        <v>2</v>
      </c>
      <c r="F10" s="443">
        <v>2</v>
      </c>
      <c r="G10" s="387" t="s">
        <v>43</v>
      </c>
      <c r="H10" s="387" t="s">
        <v>44</v>
      </c>
      <c r="I10" s="383">
        <v>30</v>
      </c>
      <c r="J10" s="383">
        <v>30</v>
      </c>
      <c r="K10" s="383">
        <v>30</v>
      </c>
      <c r="L10" s="386">
        <f>ROUND(E10/60*$L$1/147.7*F10,2)</f>
        <v>13.32</v>
      </c>
      <c r="M10" s="386">
        <v>1</v>
      </c>
      <c r="N10" s="386">
        <v>1</v>
      </c>
      <c r="O10" s="386">
        <v>1</v>
      </c>
      <c r="P10" s="386">
        <f>ROUND($L10*M10,2)</f>
        <v>13.32</v>
      </c>
      <c r="Q10" s="386">
        <f aca="true" t="shared" si="1" ref="Q10:R15">ROUND($L10*N10,2)</f>
        <v>13.32</v>
      </c>
      <c r="R10" s="386">
        <f t="shared" si="1"/>
        <v>13.32</v>
      </c>
      <c r="S10" s="387">
        <f>P10*I10</f>
        <v>399.6</v>
      </c>
      <c r="T10" s="387">
        <f>Q10*J10</f>
        <v>399.6</v>
      </c>
      <c r="U10" s="387">
        <f>R10*K10</f>
        <v>399.6</v>
      </c>
      <c r="V10" s="383">
        <f>197.47/365+0.21</f>
        <v>0.7510136986301369</v>
      </c>
      <c r="W10" s="387">
        <f>ROUND(V10*I10,2)</f>
        <v>22.53</v>
      </c>
      <c r="X10" s="387">
        <f>ROUND(V10*J10,2)</f>
        <v>22.53</v>
      </c>
      <c r="Y10" s="387">
        <f>ROUND(V10*K10,2)</f>
        <v>22.53</v>
      </c>
      <c r="Z10" s="1" t="s">
        <v>45</v>
      </c>
      <c r="AA10" s="391">
        <f>V10+L10</f>
        <v>14.071013698630138</v>
      </c>
      <c r="AB10" s="391">
        <f>W10+S10</f>
        <v>422.13</v>
      </c>
      <c r="AC10" s="400">
        <v>390</v>
      </c>
      <c r="AD10" s="411">
        <f>AC10*$T10</f>
        <v>155844</v>
      </c>
      <c r="AE10" s="400">
        <v>50</v>
      </c>
      <c r="AF10" s="411">
        <f>AE10*$T10</f>
        <v>19980</v>
      </c>
      <c r="AG10" s="400">
        <v>25</v>
      </c>
      <c r="AH10" s="411">
        <f>AG10*$T10</f>
        <v>9990</v>
      </c>
    </row>
    <row r="11" spans="2:34" ht="60" customHeight="1">
      <c r="B11" s="388"/>
      <c r="C11" s="447"/>
      <c r="D11" s="441"/>
      <c r="E11" s="444"/>
      <c r="F11" s="444"/>
      <c r="G11" s="388"/>
      <c r="H11" s="388"/>
      <c r="I11" s="384"/>
      <c r="J11" s="384"/>
      <c r="K11" s="384"/>
      <c r="L11" s="386"/>
      <c r="M11" s="386"/>
      <c r="N11" s="386"/>
      <c r="O11" s="386"/>
      <c r="P11" s="386">
        <f aca="true" t="shared" si="2" ref="P11:R26">ROUND($L11*M11,2)</f>
        <v>0</v>
      </c>
      <c r="Q11" s="386">
        <f t="shared" si="1"/>
        <v>0</v>
      </c>
      <c r="R11" s="386">
        <f t="shared" si="1"/>
        <v>0</v>
      </c>
      <c r="S11" s="388"/>
      <c r="T11" s="388"/>
      <c r="U11" s="388"/>
      <c r="V11" s="384"/>
      <c r="W11" s="388"/>
      <c r="X11" s="388"/>
      <c r="Y11" s="388"/>
      <c r="AA11" s="392"/>
      <c r="AB11" s="392"/>
      <c r="AC11" s="401"/>
      <c r="AD11" s="412"/>
      <c r="AE11" s="401"/>
      <c r="AF11" s="412"/>
      <c r="AG11" s="401"/>
      <c r="AH11" s="412"/>
    </row>
    <row r="12" spans="2:34" ht="31.5">
      <c r="B12" s="388"/>
      <c r="C12" s="447"/>
      <c r="D12" s="24" t="s">
        <v>46</v>
      </c>
      <c r="E12" s="444"/>
      <c r="F12" s="444"/>
      <c r="G12" s="388"/>
      <c r="H12" s="388"/>
      <c r="I12" s="384"/>
      <c r="J12" s="384"/>
      <c r="K12" s="384"/>
      <c r="L12" s="386"/>
      <c r="M12" s="386"/>
      <c r="N12" s="386"/>
      <c r="O12" s="386"/>
      <c r="P12" s="386">
        <f t="shared" si="2"/>
        <v>0</v>
      </c>
      <c r="Q12" s="386">
        <f t="shared" si="1"/>
        <v>0</v>
      </c>
      <c r="R12" s="386">
        <f t="shared" si="1"/>
        <v>0</v>
      </c>
      <c r="S12" s="388"/>
      <c r="T12" s="388"/>
      <c r="U12" s="388"/>
      <c r="V12" s="384"/>
      <c r="W12" s="388"/>
      <c r="X12" s="388"/>
      <c r="Y12" s="388"/>
      <c r="AA12" s="392"/>
      <c r="AB12" s="392"/>
      <c r="AC12" s="401"/>
      <c r="AD12" s="412"/>
      <c r="AE12" s="401"/>
      <c r="AF12" s="412"/>
      <c r="AG12" s="401"/>
      <c r="AH12" s="412"/>
    </row>
    <row r="13" spans="2:34" ht="26.25" customHeight="1">
      <c r="B13" s="388"/>
      <c r="C13" s="447"/>
      <c r="D13" s="24" t="s">
        <v>47</v>
      </c>
      <c r="E13" s="444"/>
      <c r="F13" s="444"/>
      <c r="G13" s="388"/>
      <c r="H13" s="388"/>
      <c r="I13" s="384"/>
      <c r="J13" s="384"/>
      <c r="K13" s="384"/>
      <c r="L13" s="386"/>
      <c r="M13" s="386"/>
      <c r="N13" s="386"/>
      <c r="O13" s="386"/>
      <c r="P13" s="386">
        <f t="shared" si="2"/>
        <v>0</v>
      </c>
      <c r="Q13" s="386">
        <f t="shared" si="1"/>
        <v>0</v>
      </c>
      <c r="R13" s="386">
        <f t="shared" si="1"/>
        <v>0</v>
      </c>
      <c r="S13" s="388"/>
      <c r="T13" s="388"/>
      <c r="U13" s="388"/>
      <c r="V13" s="384"/>
      <c r="W13" s="388"/>
      <c r="X13" s="388"/>
      <c r="Y13" s="388"/>
      <c r="AA13" s="392"/>
      <c r="AB13" s="392"/>
      <c r="AC13" s="401"/>
      <c r="AD13" s="412"/>
      <c r="AE13" s="401"/>
      <c r="AF13" s="412"/>
      <c r="AG13" s="401"/>
      <c r="AH13" s="412"/>
    </row>
    <row r="14" spans="2:34" ht="25.5" customHeight="1">
      <c r="B14" s="388"/>
      <c r="C14" s="447"/>
      <c r="D14" s="24" t="s">
        <v>48</v>
      </c>
      <c r="E14" s="444"/>
      <c r="F14" s="444"/>
      <c r="G14" s="388"/>
      <c r="H14" s="388"/>
      <c r="I14" s="384"/>
      <c r="J14" s="384"/>
      <c r="K14" s="384"/>
      <c r="L14" s="386"/>
      <c r="M14" s="386"/>
      <c r="N14" s="386"/>
      <c r="O14" s="386"/>
      <c r="P14" s="386">
        <f t="shared" si="2"/>
        <v>0</v>
      </c>
      <c r="Q14" s="386">
        <f t="shared" si="1"/>
        <v>0</v>
      </c>
      <c r="R14" s="386">
        <f t="shared" si="1"/>
        <v>0</v>
      </c>
      <c r="S14" s="388"/>
      <c r="T14" s="388"/>
      <c r="U14" s="388"/>
      <c r="V14" s="384"/>
      <c r="W14" s="388"/>
      <c r="X14" s="388"/>
      <c r="Y14" s="388"/>
      <c r="AA14" s="392"/>
      <c r="AB14" s="392"/>
      <c r="AC14" s="401"/>
      <c r="AD14" s="412"/>
      <c r="AE14" s="401"/>
      <c r="AF14" s="412"/>
      <c r="AG14" s="401"/>
      <c r="AH14" s="412"/>
    </row>
    <row r="15" spans="2:34" ht="59.25" customHeight="1">
      <c r="B15" s="389"/>
      <c r="C15" s="448"/>
      <c r="D15" s="25" t="s">
        <v>49</v>
      </c>
      <c r="E15" s="445"/>
      <c r="F15" s="445"/>
      <c r="G15" s="389"/>
      <c r="H15" s="389"/>
      <c r="I15" s="385"/>
      <c r="J15" s="385"/>
      <c r="K15" s="385"/>
      <c r="L15" s="386"/>
      <c r="M15" s="386"/>
      <c r="N15" s="386"/>
      <c r="O15" s="386"/>
      <c r="P15" s="386">
        <f t="shared" si="2"/>
        <v>0</v>
      </c>
      <c r="Q15" s="386">
        <f t="shared" si="1"/>
        <v>0</v>
      </c>
      <c r="R15" s="386">
        <f t="shared" si="1"/>
        <v>0</v>
      </c>
      <c r="S15" s="389"/>
      <c r="T15" s="389"/>
      <c r="U15" s="389"/>
      <c r="V15" s="385"/>
      <c r="W15" s="389"/>
      <c r="X15" s="389"/>
      <c r="Y15" s="389"/>
      <c r="AA15" s="393"/>
      <c r="AB15" s="393"/>
      <c r="AC15" s="402"/>
      <c r="AD15" s="413"/>
      <c r="AE15" s="402"/>
      <c r="AF15" s="413"/>
      <c r="AG15" s="402"/>
      <c r="AH15" s="413"/>
    </row>
    <row r="16" spans="2:34" ht="63" customHeight="1">
      <c r="B16" s="26" t="s">
        <v>50</v>
      </c>
      <c r="C16" s="27" t="s">
        <v>51</v>
      </c>
      <c r="D16" s="28" t="s">
        <v>52</v>
      </c>
      <c r="E16" s="29">
        <v>12</v>
      </c>
      <c r="F16" s="30">
        <v>4</v>
      </c>
      <c r="G16" s="30" t="s">
        <v>53</v>
      </c>
      <c r="H16" s="31" t="s">
        <v>54</v>
      </c>
      <c r="I16" s="32">
        <f>365/12</f>
        <v>30.416666666666668</v>
      </c>
      <c r="J16" s="32">
        <f>365/12</f>
        <v>30.416666666666668</v>
      </c>
      <c r="K16" s="32">
        <f>365/12</f>
        <v>30.416666666666668</v>
      </c>
      <c r="L16" s="33">
        <f>ROUND(E16/60*$T$2/147.7*F16,2)</f>
        <v>119.52</v>
      </c>
      <c r="M16" s="33">
        <v>1</v>
      </c>
      <c r="N16" s="33">
        <v>1</v>
      </c>
      <c r="O16" s="33">
        <v>1.25</v>
      </c>
      <c r="P16" s="33">
        <f t="shared" si="2"/>
        <v>119.52</v>
      </c>
      <c r="Q16" s="33">
        <f t="shared" si="2"/>
        <v>119.52</v>
      </c>
      <c r="R16" s="33">
        <f>ROUND($L16*O16,2)</f>
        <v>149.4</v>
      </c>
      <c r="S16" s="34">
        <f>I16*P16</f>
        <v>3635.4</v>
      </c>
      <c r="T16" s="34">
        <f>Q16*J16</f>
        <v>3635.4</v>
      </c>
      <c r="U16" s="34">
        <f>K16*R16</f>
        <v>4544.25</v>
      </c>
      <c r="V16" s="34">
        <f>45.87*F16</f>
        <v>183.48</v>
      </c>
      <c r="W16" s="34">
        <f>V16*I16</f>
        <v>5580.849999999999</v>
      </c>
      <c r="X16" s="34">
        <f>V16*J16</f>
        <v>5580.849999999999</v>
      </c>
      <c r="Y16" s="34">
        <v>5845</v>
      </c>
      <c r="Z16" s="35" t="s">
        <v>55</v>
      </c>
      <c r="AA16" s="36">
        <f>V16+L16</f>
        <v>303</v>
      </c>
      <c r="AB16" s="36">
        <f>W16+S16</f>
        <v>9216.25</v>
      </c>
      <c r="AC16" s="157">
        <v>390</v>
      </c>
      <c r="AD16" s="157">
        <f>AC16*$T16</f>
        <v>1417806</v>
      </c>
      <c r="AE16" s="157">
        <v>50</v>
      </c>
      <c r="AF16" s="157">
        <f>AE16*$T16</f>
        <v>181770</v>
      </c>
      <c r="AG16" s="157">
        <v>25</v>
      </c>
      <c r="AH16" s="157">
        <f>AG16*$T16</f>
        <v>90885</v>
      </c>
    </row>
    <row r="17" spans="2:34" ht="165" customHeight="1">
      <c r="B17" s="26" t="s">
        <v>56</v>
      </c>
      <c r="C17" s="26" t="s">
        <v>57</v>
      </c>
      <c r="D17" s="37" t="s">
        <v>58</v>
      </c>
      <c r="E17" s="31">
        <v>10</v>
      </c>
      <c r="F17" s="32">
        <f>4/30</f>
        <v>0.13333333333333333</v>
      </c>
      <c r="G17" s="31" t="s">
        <v>43</v>
      </c>
      <c r="H17" s="31" t="s">
        <v>59</v>
      </c>
      <c r="I17" s="31">
        <v>30</v>
      </c>
      <c r="J17" s="31">
        <v>30</v>
      </c>
      <c r="K17" s="38">
        <v>30</v>
      </c>
      <c r="L17" s="33">
        <f>ROUND(E17/60*$L$1/147.7*F17,2)</f>
        <v>4.44</v>
      </c>
      <c r="M17" s="33">
        <v>1</v>
      </c>
      <c r="N17" s="33">
        <v>1</v>
      </c>
      <c r="O17" s="33">
        <v>1.5</v>
      </c>
      <c r="P17" s="33">
        <f t="shared" si="2"/>
        <v>4.44</v>
      </c>
      <c r="Q17" s="33">
        <f t="shared" si="2"/>
        <v>4.44</v>
      </c>
      <c r="R17" s="33">
        <f>ROUND($L17*O17,2)</f>
        <v>6.66</v>
      </c>
      <c r="S17" s="34">
        <f>I17*P17</f>
        <v>133.20000000000002</v>
      </c>
      <c r="T17" s="34">
        <f>Q17*J17</f>
        <v>133.20000000000002</v>
      </c>
      <c r="U17" s="34">
        <f>K17*R17</f>
        <v>199.8</v>
      </c>
      <c r="V17" s="34">
        <f>900/30</f>
        <v>30</v>
      </c>
      <c r="W17" s="34">
        <f>V17*I17</f>
        <v>900</v>
      </c>
      <c r="X17" s="34">
        <f>V17*J17</f>
        <v>900</v>
      </c>
      <c r="Y17" s="34">
        <v>900</v>
      </c>
      <c r="Z17" s="39" t="s">
        <v>60</v>
      </c>
      <c r="AA17" s="36">
        <f>V17+L17</f>
        <v>34.44</v>
      </c>
      <c r="AB17" s="36">
        <f>W17+S17</f>
        <v>1033.2</v>
      </c>
      <c r="AC17" s="157">
        <v>390</v>
      </c>
      <c r="AD17" s="157">
        <f>AC17*$T17</f>
        <v>51948.00000000001</v>
      </c>
      <c r="AE17" s="157">
        <v>50</v>
      </c>
      <c r="AF17" s="157">
        <f>AE17*$T17</f>
        <v>6660.000000000001</v>
      </c>
      <c r="AG17" s="157">
        <v>25</v>
      </c>
      <c r="AH17" s="157">
        <f>AG17*$T17</f>
        <v>3330.0000000000005</v>
      </c>
    </row>
    <row r="18" spans="2:34" ht="105.75" customHeight="1">
      <c r="B18" s="37" t="s">
        <v>61</v>
      </c>
      <c r="C18" s="37" t="s">
        <v>62</v>
      </c>
      <c r="D18" s="40" t="s">
        <v>63</v>
      </c>
      <c r="E18" s="41">
        <v>10</v>
      </c>
      <c r="F18" s="41">
        <v>4</v>
      </c>
      <c r="G18" s="41" t="s">
        <v>43</v>
      </c>
      <c r="H18" s="41" t="s">
        <v>64</v>
      </c>
      <c r="I18" s="41">
        <v>30</v>
      </c>
      <c r="J18" s="41">
        <v>30</v>
      </c>
      <c r="K18" s="42">
        <v>30</v>
      </c>
      <c r="L18" s="33">
        <f>ROUND(E18/60*$L$1/147.7*F18,2)</f>
        <v>133.24</v>
      </c>
      <c r="M18" s="33">
        <v>1</v>
      </c>
      <c r="N18" s="33">
        <v>1</v>
      </c>
      <c r="O18" s="33">
        <v>1.25</v>
      </c>
      <c r="P18" s="33">
        <f t="shared" si="2"/>
        <v>133.24</v>
      </c>
      <c r="Q18" s="33">
        <f t="shared" si="2"/>
        <v>133.24</v>
      </c>
      <c r="R18" s="33">
        <f t="shared" si="2"/>
        <v>166.55</v>
      </c>
      <c r="S18" s="34">
        <f>I18*P18</f>
        <v>3997.2000000000003</v>
      </c>
      <c r="T18" s="34">
        <f>Q18*J18</f>
        <v>3997.2000000000003</v>
      </c>
      <c r="U18" s="34">
        <f>K18*R18</f>
        <v>4996.5</v>
      </c>
      <c r="V18" s="34"/>
      <c r="W18" s="34"/>
      <c r="X18" s="34"/>
      <c r="Y18" s="34"/>
      <c r="Z18" s="39" t="s">
        <v>65</v>
      </c>
      <c r="AA18" s="36">
        <f>V18+L18</f>
        <v>133.24</v>
      </c>
      <c r="AB18" s="36">
        <f>W18+S18</f>
        <v>3997.2000000000003</v>
      </c>
      <c r="AC18" s="157">
        <v>75</v>
      </c>
      <c r="AD18" s="157">
        <f>AC18*$T18</f>
        <v>299790</v>
      </c>
      <c r="AE18" s="157">
        <v>44</v>
      </c>
      <c r="AF18" s="157">
        <f>AE18*$T18</f>
        <v>175876.80000000002</v>
      </c>
      <c r="AG18" s="157">
        <v>11</v>
      </c>
      <c r="AH18" s="157">
        <f>AG18*$T18</f>
        <v>43969.200000000004</v>
      </c>
    </row>
    <row r="19" spans="2:34" ht="96" customHeight="1">
      <c r="B19" s="37" t="s">
        <v>66</v>
      </c>
      <c r="C19" s="43" t="s">
        <v>67</v>
      </c>
      <c r="D19" s="44" t="s">
        <v>68</v>
      </c>
      <c r="E19" s="31">
        <v>20</v>
      </c>
      <c r="F19" s="45">
        <f>2/365</f>
        <v>0.005479452054794521</v>
      </c>
      <c r="G19" s="31" t="s">
        <v>69</v>
      </c>
      <c r="H19" s="31" t="s">
        <v>13</v>
      </c>
      <c r="I19" s="45">
        <v>30</v>
      </c>
      <c r="J19" s="45">
        <v>30</v>
      </c>
      <c r="K19" s="46">
        <v>30</v>
      </c>
      <c r="L19" s="33">
        <f>ROUND(E19/60*$T$3/147.7*F19,2)</f>
        <v>0.28</v>
      </c>
      <c r="M19" s="33">
        <v>1</v>
      </c>
      <c r="N19" s="33">
        <v>1</v>
      </c>
      <c r="O19" s="33">
        <v>1</v>
      </c>
      <c r="P19" s="33">
        <f t="shared" si="2"/>
        <v>0.28</v>
      </c>
      <c r="Q19" s="33">
        <f t="shared" si="2"/>
        <v>0.28</v>
      </c>
      <c r="R19" s="33">
        <f t="shared" si="2"/>
        <v>0.28</v>
      </c>
      <c r="S19" s="47">
        <f>P19*I19</f>
        <v>8.4</v>
      </c>
      <c r="T19" s="47">
        <f>Q19*J19</f>
        <v>8.4</v>
      </c>
      <c r="U19" s="47">
        <f>R19*K19</f>
        <v>8.4</v>
      </c>
      <c r="V19" s="47">
        <f>124/30</f>
        <v>4.133333333333334</v>
      </c>
      <c r="W19" s="47">
        <f>I19*V19</f>
        <v>124.00000000000001</v>
      </c>
      <c r="X19" s="47">
        <f>V19*J19</f>
        <v>124.00000000000001</v>
      </c>
      <c r="Y19" s="47">
        <f>V19*K19</f>
        <v>124.00000000000001</v>
      </c>
      <c r="AA19" s="36">
        <f>V19+L19</f>
        <v>4.413333333333334</v>
      </c>
      <c r="AB19" s="36">
        <f>W19+S19</f>
        <v>132.4</v>
      </c>
      <c r="AC19" s="158">
        <v>42</v>
      </c>
      <c r="AD19" s="158">
        <f>AC19*$T19</f>
        <v>352.8</v>
      </c>
      <c r="AE19" s="158">
        <v>46</v>
      </c>
      <c r="AF19" s="158">
        <f>AE19*$T19</f>
        <v>386.40000000000003</v>
      </c>
      <c r="AG19" s="158">
        <v>25</v>
      </c>
      <c r="AH19" s="158">
        <f>AG19*$T19</f>
        <v>210</v>
      </c>
    </row>
    <row r="20" spans="2:34" ht="72" customHeight="1">
      <c r="B20" s="387" t="s">
        <v>70</v>
      </c>
      <c r="C20" s="451" t="s">
        <v>71</v>
      </c>
      <c r="D20" s="48"/>
      <c r="E20" s="49">
        <f>SUM(E21:E29)</f>
        <v>64</v>
      </c>
      <c r="F20" s="49">
        <f>SUM(F21:F29)</f>
        <v>13.7</v>
      </c>
      <c r="G20" s="49"/>
      <c r="H20" s="50"/>
      <c r="I20" s="51"/>
      <c r="J20" s="51"/>
      <c r="K20" s="51"/>
      <c r="L20" s="36">
        <f>SUM(L21:L29)</f>
        <v>235.37</v>
      </c>
      <c r="M20" s="36">
        <v>1</v>
      </c>
      <c r="N20" s="36">
        <v>1</v>
      </c>
      <c r="O20" s="36">
        <v>1.11</v>
      </c>
      <c r="P20" s="36">
        <f aca="true" t="shared" si="3" ref="P20:Y20">SUM(P21:P29)</f>
        <v>235.37</v>
      </c>
      <c r="Q20" s="36">
        <f t="shared" si="3"/>
        <v>235.37</v>
      </c>
      <c r="R20" s="36">
        <f t="shared" si="3"/>
        <v>241.92</v>
      </c>
      <c r="S20" s="47">
        <f t="shared" si="3"/>
        <v>7061.1</v>
      </c>
      <c r="T20" s="47">
        <f t="shared" si="3"/>
        <v>7061.1</v>
      </c>
      <c r="U20" s="47">
        <f t="shared" si="3"/>
        <v>7257.6</v>
      </c>
      <c r="V20" s="47">
        <f t="shared" si="3"/>
        <v>4.960000000000001</v>
      </c>
      <c r="W20" s="47">
        <f t="shared" si="3"/>
        <v>148.8</v>
      </c>
      <c r="X20" s="47">
        <f t="shared" si="3"/>
        <v>148.8</v>
      </c>
      <c r="Y20" s="47">
        <f t="shared" si="3"/>
        <v>148.8</v>
      </c>
      <c r="Z20" s="39" t="s">
        <v>72</v>
      </c>
      <c r="AA20" s="36">
        <f>V20+L20</f>
        <v>240.33</v>
      </c>
      <c r="AB20" s="36">
        <f>W20+S20</f>
        <v>7209.900000000001</v>
      </c>
      <c r="AC20" s="181">
        <v>390</v>
      </c>
      <c r="AD20" s="158">
        <f>AC20*$T20</f>
        <v>2753829</v>
      </c>
      <c r="AE20" s="158">
        <v>50</v>
      </c>
      <c r="AF20" s="158">
        <f>AE20*$T20</f>
        <v>353055</v>
      </c>
      <c r="AG20" s="158">
        <v>25</v>
      </c>
      <c r="AH20" s="158">
        <f>AG20*$T20</f>
        <v>176527.5</v>
      </c>
    </row>
    <row r="21" spans="2:34" ht="48" customHeight="1">
      <c r="B21" s="388"/>
      <c r="C21" s="452"/>
      <c r="D21" s="52" t="s">
        <v>73</v>
      </c>
      <c r="E21" s="53">
        <v>5</v>
      </c>
      <c r="F21" s="53">
        <v>3</v>
      </c>
      <c r="G21" s="53" t="s">
        <v>43</v>
      </c>
      <c r="H21" s="54" t="s">
        <v>74</v>
      </c>
      <c r="I21" s="55">
        <v>30</v>
      </c>
      <c r="J21" s="55">
        <v>30</v>
      </c>
      <c r="K21" s="56">
        <v>30</v>
      </c>
      <c r="L21" s="57">
        <f aca="true" t="shared" si="4" ref="L21:L28">ROUND(E21/60*$L$1/147.7*F21,2)</f>
        <v>49.97</v>
      </c>
      <c r="M21" s="57">
        <v>1</v>
      </c>
      <c r="N21" s="57">
        <v>1</v>
      </c>
      <c r="O21" s="57">
        <v>1</v>
      </c>
      <c r="P21" s="57">
        <f t="shared" si="2"/>
        <v>49.97</v>
      </c>
      <c r="Q21" s="57">
        <f t="shared" si="2"/>
        <v>49.97</v>
      </c>
      <c r="R21" s="57">
        <f t="shared" si="2"/>
        <v>49.97</v>
      </c>
      <c r="S21" s="57">
        <f aca="true" t="shared" si="5" ref="S21:U30">P21*I21</f>
        <v>1499.1</v>
      </c>
      <c r="T21" s="57">
        <f t="shared" si="5"/>
        <v>1499.1</v>
      </c>
      <c r="U21" s="57">
        <f t="shared" si="5"/>
        <v>1499.1</v>
      </c>
      <c r="V21" s="57"/>
      <c r="W21" s="57"/>
      <c r="X21" s="57"/>
      <c r="Y21" s="57"/>
      <c r="AA21" s="36"/>
      <c r="AB21" s="36"/>
      <c r="AC21" s="159"/>
      <c r="AD21" s="159"/>
      <c r="AE21" s="159"/>
      <c r="AF21" s="159"/>
      <c r="AG21" s="159"/>
      <c r="AH21" s="159"/>
    </row>
    <row r="22" spans="2:34" ht="31.5">
      <c r="B22" s="388"/>
      <c r="C22" s="452"/>
      <c r="D22" s="52" t="s">
        <v>75</v>
      </c>
      <c r="E22" s="53">
        <v>5</v>
      </c>
      <c r="F22" s="53">
        <v>2</v>
      </c>
      <c r="G22" s="53" t="s">
        <v>43</v>
      </c>
      <c r="H22" s="54" t="s">
        <v>64</v>
      </c>
      <c r="I22" s="55">
        <v>30</v>
      </c>
      <c r="J22" s="55">
        <v>30</v>
      </c>
      <c r="K22" s="55">
        <v>30</v>
      </c>
      <c r="L22" s="57">
        <f t="shared" si="4"/>
        <v>33.31</v>
      </c>
      <c r="M22" s="57">
        <v>1</v>
      </c>
      <c r="N22" s="57">
        <v>1</v>
      </c>
      <c r="O22" s="57">
        <v>1.25</v>
      </c>
      <c r="P22" s="57">
        <f t="shared" si="2"/>
        <v>33.31</v>
      </c>
      <c r="Q22" s="57">
        <f t="shared" si="2"/>
        <v>33.31</v>
      </c>
      <c r="R22" s="57">
        <f t="shared" si="2"/>
        <v>41.64</v>
      </c>
      <c r="S22" s="57">
        <f t="shared" si="5"/>
        <v>999.3000000000001</v>
      </c>
      <c r="T22" s="57">
        <f t="shared" si="5"/>
        <v>999.3000000000001</v>
      </c>
      <c r="U22" s="57">
        <f t="shared" si="5"/>
        <v>1249.2</v>
      </c>
      <c r="V22" s="57">
        <v>0.53</v>
      </c>
      <c r="W22" s="57">
        <f>V22*I22</f>
        <v>15.9</v>
      </c>
      <c r="X22" s="57">
        <f>V22*J22</f>
        <v>15.9</v>
      </c>
      <c r="Y22" s="57">
        <f>V22*K22</f>
        <v>15.9</v>
      </c>
      <c r="Z22" s="39" t="s">
        <v>72</v>
      </c>
      <c r="AA22" s="36"/>
      <c r="AB22" s="36"/>
      <c r="AC22" s="159"/>
      <c r="AD22" s="159"/>
      <c r="AE22" s="159"/>
      <c r="AF22" s="159"/>
      <c r="AG22" s="159"/>
      <c r="AH22" s="159"/>
    </row>
    <row r="23" spans="2:34" ht="31.5">
      <c r="B23" s="388"/>
      <c r="C23" s="452"/>
      <c r="D23" s="54" t="s">
        <v>76</v>
      </c>
      <c r="E23" s="175">
        <v>10</v>
      </c>
      <c r="F23" s="58">
        <f>4/30</f>
        <v>0.13333333333333333</v>
      </c>
      <c r="G23" s="56" t="s">
        <v>43</v>
      </c>
      <c r="H23" s="54" t="s">
        <v>77</v>
      </c>
      <c r="I23" s="55">
        <v>30</v>
      </c>
      <c r="J23" s="55">
        <v>30</v>
      </c>
      <c r="K23" s="55">
        <v>30</v>
      </c>
      <c r="L23" s="57">
        <f t="shared" si="4"/>
        <v>4.44</v>
      </c>
      <c r="M23" s="57">
        <v>1</v>
      </c>
      <c r="N23" s="57">
        <v>1</v>
      </c>
      <c r="O23" s="57">
        <v>2</v>
      </c>
      <c r="P23" s="57">
        <f t="shared" si="2"/>
        <v>4.44</v>
      </c>
      <c r="Q23" s="57">
        <f t="shared" si="2"/>
        <v>4.44</v>
      </c>
      <c r="R23" s="57">
        <f t="shared" si="2"/>
        <v>8.88</v>
      </c>
      <c r="S23" s="57">
        <f t="shared" si="5"/>
        <v>133.20000000000002</v>
      </c>
      <c r="T23" s="57">
        <f t="shared" si="5"/>
        <v>133.20000000000002</v>
      </c>
      <c r="U23" s="57">
        <f t="shared" si="5"/>
        <v>266.40000000000003</v>
      </c>
      <c r="V23" s="57">
        <v>2.12</v>
      </c>
      <c r="W23" s="57">
        <f>V23*I23</f>
        <v>63.6</v>
      </c>
      <c r="X23" s="57">
        <f>V23*J23</f>
        <v>63.6</v>
      </c>
      <c r="Y23" s="57">
        <f>V23*K23</f>
        <v>63.6</v>
      </c>
      <c r="Z23" s="39" t="s">
        <v>78</v>
      </c>
      <c r="AA23" s="36"/>
      <c r="AB23" s="36"/>
      <c r="AC23" s="159"/>
      <c r="AD23" s="159"/>
      <c r="AE23" s="159"/>
      <c r="AF23" s="159"/>
      <c r="AG23" s="159"/>
      <c r="AH23" s="159"/>
    </row>
    <row r="24" spans="2:34" ht="45" customHeight="1">
      <c r="B24" s="388"/>
      <c r="C24" s="452"/>
      <c r="D24" s="52" t="s">
        <v>79</v>
      </c>
      <c r="E24" s="53">
        <v>2</v>
      </c>
      <c r="F24" s="53">
        <v>4</v>
      </c>
      <c r="G24" s="53" t="s">
        <v>43</v>
      </c>
      <c r="H24" s="54" t="s">
        <v>64</v>
      </c>
      <c r="I24" s="55">
        <f>30</f>
        <v>30</v>
      </c>
      <c r="J24" s="55">
        <f>30</f>
        <v>30</v>
      </c>
      <c r="K24" s="55">
        <f>30</f>
        <v>30</v>
      </c>
      <c r="L24" s="57">
        <f t="shared" si="4"/>
        <v>26.65</v>
      </c>
      <c r="M24" s="57">
        <v>1</v>
      </c>
      <c r="N24" s="57">
        <v>1</v>
      </c>
      <c r="O24" s="57">
        <v>1</v>
      </c>
      <c r="P24" s="57">
        <f t="shared" si="2"/>
        <v>26.65</v>
      </c>
      <c r="Q24" s="57">
        <f t="shared" si="2"/>
        <v>26.65</v>
      </c>
      <c r="R24" s="57">
        <f t="shared" si="2"/>
        <v>26.65</v>
      </c>
      <c r="S24" s="57">
        <f t="shared" si="5"/>
        <v>799.5</v>
      </c>
      <c r="T24" s="57">
        <f t="shared" si="5"/>
        <v>799.5</v>
      </c>
      <c r="U24" s="57">
        <f t="shared" si="5"/>
        <v>799.5</v>
      </c>
      <c r="V24" s="57"/>
      <c r="W24" s="57"/>
      <c r="X24" s="57"/>
      <c r="Y24" s="57"/>
      <c r="Z24" s="39" t="s">
        <v>80</v>
      </c>
      <c r="AA24" s="36"/>
      <c r="AB24" s="36"/>
      <c r="AC24" s="159"/>
      <c r="AD24" s="159"/>
      <c r="AE24" s="159"/>
      <c r="AF24" s="159"/>
      <c r="AG24" s="159"/>
      <c r="AH24" s="159"/>
    </row>
    <row r="25" spans="2:34" ht="47.25" customHeight="1">
      <c r="B25" s="388"/>
      <c r="C25" s="452"/>
      <c r="D25" s="52" t="s">
        <v>81</v>
      </c>
      <c r="E25" s="53">
        <v>8</v>
      </c>
      <c r="F25" s="53">
        <v>4</v>
      </c>
      <c r="G25" s="53" t="s">
        <v>43</v>
      </c>
      <c r="H25" s="54" t="s">
        <v>64</v>
      </c>
      <c r="I25" s="55">
        <f>30</f>
        <v>30</v>
      </c>
      <c r="J25" s="55">
        <f>30</f>
        <v>30</v>
      </c>
      <c r="K25" s="55">
        <f>30</f>
        <v>30</v>
      </c>
      <c r="L25" s="57">
        <f t="shared" si="4"/>
        <v>106.6</v>
      </c>
      <c r="M25" s="57">
        <v>1</v>
      </c>
      <c r="N25" s="57">
        <v>1</v>
      </c>
      <c r="O25" s="57">
        <v>1</v>
      </c>
      <c r="P25" s="57">
        <f t="shared" si="2"/>
        <v>106.6</v>
      </c>
      <c r="Q25" s="57">
        <f t="shared" si="2"/>
        <v>106.6</v>
      </c>
      <c r="R25" s="57">
        <f t="shared" si="2"/>
        <v>106.6</v>
      </c>
      <c r="S25" s="57">
        <f t="shared" si="5"/>
        <v>3198</v>
      </c>
      <c r="T25" s="57">
        <f t="shared" si="5"/>
        <v>3198</v>
      </c>
      <c r="U25" s="57">
        <f t="shared" si="5"/>
        <v>3198</v>
      </c>
      <c r="V25" s="57"/>
      <c r="W25" s="57"/>
      <c r="X25" s="57"/>
      <c r="Y25" s="57"/>
      <c r="Z25" s="39" t="s">
        <v>80</v>
      </c>
      <c r="AA25" s="36"/>
      <c r="AB25" s="36"/>
      <c r="AC25" s="159"/>
      <c r="AD25" s="159"/>
      <c r="AE25" s="159"/>
      <c r="AF25" s="159"/>
      <c r="AG25" s="159"/>
      <c r="AH25" s="159"/>
    </row>
    <row r="26" spans="2:34" ht="31.5" customHeight="1">
      <c r="B26" s="388"/>
      <c r="C26" s="452"/>
      <c r="D26" s="52" t="s">
        <v>82</v>
      </c>
      <c r="E26" s="53">
        <v>10</v>
      </c>
      <c r="F26" s="58">
        <f>4/30</f>
        <v>0.13333333333333333</v>
      </c>
      <c r="G26" s="53" t="s">
        <v>43</v>
      </c>
      <c r="H26" s="54" t="s">
        <v>74</v>
      </c>
      <c r="I26" s="55">
        <v>30</v>
      </c>
      <c r="J26" s="55">
        <v>30</v>
      </c>
      <c r="K26" s="55">
        <v>30</v>
      </c>
      <c r="L26" s="57">
        <f t="shared" si="4"/>
        <v>4.44</v>
      </c>
      <c r="M26" s="57">
        <v>1</v>
      </c>
      <c r="N26" s="57">
        <v>1</v>
      </c>
      <c r="O26" s="57">
        <v>1</v>
      </c>
      <c r="P26" s="57">
        <f t="shared" si="2"/>
        <v>4.44</v>
      </c>
      <c r="Q26" s="57">
        <f t="shared" si="2"/>
        <v>4.44</v>
      </c>
      <c r="R26" s="57">
        <f t="shared" si="2"/>
        <v>4.44</v>
      </c>
      <c r="S26" s="57">
        <f t="shared" si="5"/>
        <v>133.20000000000002</v>
      </c>
      <c r="T26" s="57">
        <f t="shared" si="5"/>
        <v>133.20000000000002</v>
      </c>
      <c r="U26" s="57">
        <f t="shared" si="5"/>
        <v>133.20000000000002</v>
      </c>
      <c r="V26" s="57">
        <v>1.06</v>
      </c>
      <c r="W26" s="57">
        <f>V26*I26</f>
        <v>31.8</v>
      </c>
      <c r="X26" s="57">
        <f>V26*J26</f>
        <v>31.8</v>
      </c>
      <c r="Y26" s="57">
        <f>V26*K26</f>
        <v>31.8</v>
      </c>
      <c r="AA26" s="36"/>
      <c r="AB26" s="36"/>
      <c r="AC26" s="159"/>
      <c r="AD26" s="159"/>
      <c r="AE26" s="159"/>
      <c r="AF26" s="159"/>
      <c r="AG26" s="159"/>
      <c r="AH26" s="159"/>
    </row>
    <row r="27" spans="2:34" ht="31.5" customHeight="1">
      <c r="B27" s="388"/>
      <c r="C27" s="452"/>
      <c r="D27" s="52" t="s">
        <v>83</v>
      </c>
      <c r="E27" s="178">
        <v>7</v>
      </c>
      <c r="F27" s="58">
        <f>4/30</f>
        <v>0.13333333333333333</v>
      </c>
      <c r="G27" s="53" t="s">
        <v>43</v>
      </c>
      <c r="H27" s="54" t="s">
        <v>64</v>
      </c>
      <c r="I27" s="55">
        <v>30</v>
      </c>
      <c r="J27" s="55">
        <v>30</v>
      </c>
      <c r="K27" s="55">
        <v>30</v>
      </c>
      <c r="L27" s="57">
        <f t="shared" si="4"/>
        <v>3.11</v>
      </c>
      <c r="M27" s="57">
        <v>1</v>
      </c>
      <c r="N27" s="57">
        <v>1</v>
      </c>
      <c r="O27" s="57">
        <v>1</v>
      </c>
      <c r="P27" s="57">
        <f aca="true" t="shared" si="6" ref="P27:R79">ROUND($L27*M27,2)</f>
        <v>3.11</v>
      </c>
      <c r="Q27" s="57">
        <f t="shared" si="6"/>
        <v>3.11</v>
      </c>
      <c r="R27" s="57">
        <f t="shared" si="6"/>
        <v>3.11</v>
      </c>
      <c r="S27" s="57">
        <f t="shared" si="5"/>
        <v>93.3</v>
      </c>
      <c r="T27" s="57">
        <f t="shared" si="5"/>
        <v>93.3</v>
      </c>
      <c r="U27" s="57">
        <f t="shared" si="5"/>
        <v>93.3</v>
      </c>
      <c r="V27" s="57"/>
      <c r="W27" s="57"/>
      <c r="X27" s="57"/>
      <c r="Y27" s="57"/>
      <c r="AA27" s="36"/>
      <c r="AB27" s="36"/>
      <c r="AC27" s="159"/>
      <c r="AD27" s="159"/>
      <c r="AE27" s="159"/>
      <c r="AF27" s="159"/>
      <c r="AG27" s="159"/>
      <c r="AH27" s="159"/>
    </row>
    <row r="28" spans="2:34" ht="31.5" customHeight="1">
      <c r="B28" s="388"/>
      <c r="C28" s="452"/>
      <c r="D28" s="52" t="s">
        <v>84</v>
      </c>
      <c r="E28" s="53">
        <v>7</v>
      </c>
      <c r="F28" s="58">
        <f>8/30</f>
        <v>0.26666666666666666</v>
      </c>
      <c r="G28" s="53" t="s">
        <v>43</v>
      </c>
      <c r="H28" s="54" t="s">
        <v>74</v>
      </c>
      <c r="I28" s="55">
        <v>30</v>
      </c>
      <c r="J28" s="55">
        <v>30</v>
      </c>
      <c r="K28" s="55">
        <v>30</v>
      </c>
      <c r="L28" s="57">
        <f t="shared" si="4"/>
        <v>6.22</v>
      </c>
      <c r="M28" s="57">
        <v>1</v>
      </c>
      <c r="N28" s="57">
        <v>1</v>
      </c>
      <c r="O28" s="57">
        <v>0</v>
      </c>
      <c r="P28" s="57">
        <f t="shared" si="6"/>
        <v>6.22</v>
      </c>
      <c r="Q28" s="57">
        <f t="shared" si="6"/>
        <v>6.22</v>
      </c>
      <c r="R28" s="57">
        <f t="shared" si="6"/>
        <v>0</v>
      </c>
      <c r="S28" s="57">
        <f t="shared" si="5"/>
        <v>186.6</v>
      </c>
      <c r="T28" s="57">
        <f t="shared" si="5"/>
        <v>186.6</v>
      </c>
      <c r="U28" s="57">
        <f t="shared" si="5"/>
        <v>0</v>
      </c>
      <c r="V28" s="57">
        <v>1.25</v>
      </c>
      <c r="W28" s="57">
        <f>V28*I28</f>
        <v>37.5</v>
      </c>
      <c r="X28" s="57">
        <f>V28*J28</f>
        <v>37.5</v>
      </c>
      <c r="Y28" s="57">
        <f>V28*K28</f>
        <v>37.5</v>
      </c>
      <c r="AA28" s="36"/>
      <c r="AB28" s="36"/>
      <c r="AC28" s="159"/>
      <c r="AD28" s="159"/>
      <c r="AE28" s="159"/>
      <c r="AF28" s="159"/>
      <c r="AG28" s="159"/>
      <c r="AH28" s="159"/>
    </row>
    <row r="29" spans="2:34" ht="24.75" customHeight="1">
      <c r="B29" s="389"/>
      <c r="C29" s="453"/>
      <c r="D29" s="54" t="s">
        <v>85</v>
      </c>
      <c r="E29" s="56">
        <v>10</v>
      </c>
      <c r="F29" s="58">
        <f>1/30</f>
        <v>0.03333333333333333</v>
      </c>
      <c r="G29" s="56" t="s">
        <v>86</v>
      </c>
      <c r="H29" s="54" t="s">
        <v>4</v>
      </c>
      <c r="I29" s="55">
        <v>30</v>
      </c>
      <c r="J29" s="55">
        <v>30</v>
      </c>
      <c r="K29" s="55">
        <v>30</v>
      </c>
      <c r="L29" s="57">
        <f>ROUND(E29/60*$V$1/147.7*F29,2)</f>
        <v>0.63</v>
      </c>
      <c r="M29" s="57">
        <v>1</v>
      </c>
      <c r="N29" s="57">
        <v>1</v>
      </c>
      <c r="O29" s="57">
        <v>1</v>
      </c>
      <c r="P29" s="57">
        <f t="shared" si="6"/>
        <v>0.63</v>
      </c>
      <c r="Q29" s="57">
        <f t="shared" si="6"/>
        <v>0.63</v>
      </c>
      <c r="R29" s="57">
        <f t="shared" si="6"/>
        <v>0.63</v>
      </c>
      <c r="S29" s="57">
        <f t="shared" si="5"/>
        <v>18.9</v>
      </c>
      <c r="T29" s="57">
        <f t="shared" si="5"/>
        <v>18.9</v>
      </c>
      <c r="U29" s="57">
        <f t="shared" si="5"/>
        <v>18.9</v>
      </c>
      <c r="V29" s="57"/>
      <c r="W29" s="57"/>
      <c r="X29" s="57"/>
      <c r="Y29" s="57"/>
      <c r="AA29" s="36"/>
      <c r="AB29" s="36"/>
      <c r="AC29" s="159"/>
      <c r="AD29" s="159"/>
      <c r="AE29" s="159"/>
      <c r="AF29" s="159"/>
      <c r="AG29" s="159"/>
      <c r="AH29" s="159"/>
    </row>
    <row r="30" spans="2:34" ht="96.75" customHeight="1">
      <c r="B30" s="26" t="s">
        <v>87</v>
      </c>
      <c r="C30" s="27" t="s">
        <v>88</v>
      </c>
      <c r="D30" s="59" t="s">
        <v>89</v>
      </c>
      <c r="E30" s="173">
        <v>10</v>
      </c>
      <c r="F30" s="61">
        <f>1/30</f>
        <v>0.03333333333333333</v>
      </c>
      <c r="G30" s="60" t="s">
        <v>90</v>
      </c>
      <c r="H30" s="60" t="s">
        <v>91</v>
      </c>
      <c r="I30" s="41">
        <v>30</v>
      </c>
      <c r="J30" s="41">
        <v>30</v>
      </c>
      <c r="K30" s="42">
        <v>30</v>
      </c>
      <c r="L30" s="33">
        <f>ROUND(E30/60*$H$1/147.7*F30,2)</f>
        <v>1.23</v>
      </c>
      <c r="M30" s="33">
        <v>1</v>
      </c>
      <c r="N30" s="33">
        <v>1</v>
      </c>
      <c r="O30" s="33">
        <v>1</v>
      </c>
      <c r="P30" s="33">
        <f t="shared" si="6"/>
        <v>1.23</v>
      </c>
      <c r="Q30" s="33">
        <f t="shared" si="6"/>
        <v>1.23</v>
      </c>
      <c r="R30" s="33">
        <f t="shared" si="6"/>
        <v>1.23</v>
      </c>
      <c r="S30" s="34">
        <f t="shared" si="5"/>
        <v>36.9</v>
      </c>
      <c r="T30" s="34">
        <f t="shared" si="5"/>
        <v>36.9</v>
      </c>
      <c r="U30" s="34">
        <f t="shared" si="5"/>
        <v>36.9</v>
      </c>
      <c r="V30" s="34"/>
      <c r="W30" s="34"/>
      <c r="X30" s="34"/>
      <c r="Y30" s="34"/>
      <c r="AA30" s="36">
        <f>V30+L30</f>
        <v>1.23</v>
      </c>
      <c r="AB30" s="36">
        <f>W30+S30</f>
        <v>36.9</v>
      </c>
      <c r="AC30" s="157">
        <v>5</v>
      </c>
      <c r="AD30" s="157">
        <f>AC30*$T30</f>
        <v>184.5</v>
      </c>
      <c r="AE30" s="157">
        <v>50</v>
      </c>
      <c r="AF30" s="157">
        <f>AE30*$T30</f>
        <v>1845</v>
      </c>
      <c r="AG30" s="157">
        <v>0</v>
      </c>
      <c r="AH30" s="157">
        <f>AG30*$T30</f>
        <v>0</v>
      </c>
    </row>
    <row r="31" spans="2:34" ht="21" customHeight="1">
      <c r="B31" s="16" t="s">
        <v>92</v>
      </c>
      <c r="C31" s="17"/>
      <c r="D31" s="18"/>
      <c r="E31" s="18"/>
      <c r="F31" s="18"/>
      <c r="G31" s="18"/>
      <c r="H31" s="18"/>
      <c r="I31" s="62"/>
      <c r="J31" s="8"/>
      <c r="K31" s="8"/>
      <c r="L31" s="63"/>
      <c r="M31" s="63"/>
      <c r="N31" s="63"/>
      <c r="O31" s="63"/>
      <c r="P31" s="63">
        <f t="shared" si="6"/>
        <v>0</v>
      </c>
      <c r="Q31" s="63">
        <f t="shared" si="6"/>
        <v>0</v>
      </c>
      <c r="R31" s="63">
        <f t="shared" si="6"/>
        <v>0</v>
      </c>
      <c r="S31" s="22">
        <f>S32+S43+S46+S49+S54+S55</f>
        <v>7947.300000000001</v>
      </c>
      <c r="T31" s="22">
        <f>T32+T43+T46+T49+T54+T55</f>
        <v>2046.9</v>
      </c>
      <c r="U31" s="22">
        <f>U32+U43+U46+U49+U54+U55</f>
        <v>10578.3</v>
      </c>
      <c r="V31" s="22"/>
      <c r="W31" s="22"/>
      <c r="X31" s="22"/>
      <c r="Y31" s="22"/>
      <c r="AA31" s="23"/>
      <c r="AB31" s="23"/>
      <c r="AC31" s="160">
        <f aca="true" t="shared" si="7" ref="AC31:AH31">AC32+AC43+AC46+AC49+AC54+AC55</f>
        <v>1660</v>
      </c>
      <c r="AD31" s="160">
        <f t="shared" si="7"/>
        <v>394167.00000000006</v>
      </c>
      <c r="AE31" s="160">
        <f t="shared" si="7"/>
        <v>250</v>
      </c>
      <c r="AF31" s="160">
        <f t="shared" si="7"/>
        <v>77850</v>
      </c>
      <c r="AG31" s="160">
        <f t="shared" si="7"/>
        <v>150</v>
      </c>
      <c r="AH31" s="160">
        <f t="shared" si="7"/>
        <v>51172.5</v>
      </c>
    </row>
    <row r="32" spans="2:34" ht="55.5" customHeight="1">
      <c r="B32" s="387" t="s">
        <v>93</v>
      </c>
      <c r="C32" s="449" t="s">
        <v>94</v>
      </c>
      <c r="D32" s="26"/>
      <c r="E32" s="179">
        <f>SUM(E33:E42)</f>
        <v>56</v>
      </c>
      <c r="F32" s="179">
        <f>SUM(F33:F42)</f>
        <v>1.0944444444444443</v>
      </c>
      <c r="G32" s="10"/>
      <c r="H32" s="51"/>
      <c r="I32" s="37"/>
      <c r="J32" s="41"/>
      <c r="K32" s="41"/>
      <c r="L32" s="64">
        <f>SUM(L33:L42)</f>
        <v>21.390000000000004</v>
      </c>
      <c r="M32" s="64">
        <v>8.46</v>
      </c>
      <c r="N32" s="64">
        <v>1</v>
      </c>
      <c r="O32" s="64">
        <v>9.36</v>
      </c>
      <c r="P32" s="64">
        <f aca="true" t="shared" si="8" ref="P32:U32">SUM(P33:P42)</f>
        <v>179.06999999999996</v>
      </c>
      <c r="Q32" s="64">
        <f t="shared" si="8"/>
        <v>21.390000000000004</v>
      </c>
      <c r="R32" s="64">
        <f t="shared" si="8"/>
        <v>233.90999999999997</v>
      </c>
      <c r="S32" s="34">
        <f t="shared" si="8"/>
        <v>5372.1</v>
      </c>
      <c r="T32" s="34">
        <f t="shared" si="8"/>
        <v>641.7000000000002</v>
      </c>
      <c r="U32" s="34">
        <f t="shared" si="8"/>
        <v>7017.299999999999</v>
      </c>
      <c r="V32" s="34">
        <v>22.5</v>
      </c>
      <c r="W32" s="34">
        <v>675</v>
      </c>
      <c r="X32" s="34">
        <f>V32*10</f>
        <v>225</v>
      </c>
      <c r="Y32" s="34">
        <f>V32*30</f>
        <v>675</v>
      </c>
      <c r="AA32" s="36">
        <f>V32+L32</f>
        <v>43.89</v>
      </c>
      <c r="AB32" s="36">
        <f>W32+S32</f>
        <v>6047.1</v>
      </c>
      <c r="AC32" s="157">
        <v>390</v>
      </c>
      <c r="AD32" s="157">
        <f>AC32*$T32</f>
        <v>250263.00000000006</v>
      </c>
      <c r="AE32" s="157">
        <v>50</v>
      </c>
      <c r="AF32" s="157">
        <f>AE32*$T32</f>
        <v>32085.000000000007</v>
      </c>
      <c r="AG32" s="157">
        <v>25</v>
      </c>
      <c r="AH32" s="157">
        <f>AG32*$T32</f>
        <v>16042.500000000004</v>
      </c>
    </row>
    <row r="33" spans="2:34" ht="33.75" customHeight="1">
      <c r="B33" s="388"/>
      <c r="C33" s="450"/>
      <c r="D33" s="65" t="s">
        <v>95</v>
      </c>
      <c r="E33" s="55">
        <v>7</v>
      </c>
      <c r="F33" s="58">
        <f>1/30</f>
        <v>0.03333333333333333</v>
      </c>
      <c r="G33" s="56" t="s">
        <v>96</v>
      </c>
      <c r="H33" s="66" t="s">
        <v>97</v>
      </c>
      <c r="I33" s="55">
        <v>30</v>
      </c>
      <c r="J33" s="55">
        <v>30</v>
      </c>
      <c r="K33" s="55">
        <v>30</v>
      </c>
      <c r="L33" s="67">
        <f>ROUND(E33/60*$L$2/147.7*F33,2)</f>
        <v>1.14</v>
      </c>
      <c r="M33" s="67">
        <v>30</v>
      </c>
      <c r="N33" s="67">
        <v>1</v>
      </c>
      <c r="O33" s="67">
        <v>30</v>
      </c>
      <c r="P33" s="67">
        <f t="shared" si="6"/>
        <v>34.2</v>
      </c>
      <c r="Q33" s="67">
        <f t="shared" si="6"/>
        <v>1.14</v>
      </c>
      <c r="R33" s="67">
        <f t="shared" si="6"/>
        <v>34.2</v>
      </c>
      <c r="S33" s="57">
        <f aca="true" t="shared" si="9" ref="S33:U42">P33*I33</f>
        <v>1026</v>
      </c>
      <c r="T33" s="57">
        <f t="shared" si="9"/>
        <v>34.199999999999996</v>
      </c>
      <c r="U33" s="57">
        <f t="shared" si="9"/>
        <v>1026</v>
      </c>
      <c r="V33" s="57"/>
      <c r="W33" s="57"/>
      <c r="X33" s="57"/>
      <c r="Y33" s="57"/>
      <c r="AA33" s="36"/>
      <c r="AB33" s="36"/>
      <c r="AC33" s="159">
        <f aca="true" t="shared" si="10" ref="AC33:AF42">Z33*S33</f>
        <v>0</v>
      </c>
      <c r="AD33" s="159">
        <f t="shared" si="10"/>
        <v>0</v>
      </c>
      <c r="AE33" s="159"/>
      <c r="AF33" s="159">
        <f t="shared" si="10"/>
        <v>0</v>
      </c>
      <c r="AG33" s="159"/>
      <c r="AH33" s="159">
        <f aca="true" t="shared" si="11" ref="AH33:AH42">AF33*Y33</f>
        <v>0</v>
      </c>
    </row>
    <row r="34" spans="2:34" ht="26.25" customHeight="1">
      <c r="B34" s="388"/>
      <c r="C34" s="450"/>
      <c r="D34" s="65" t="s">
        <v>98</v>
      </c>
      <c r="E34" s="55">
        <v>2</v>
      </c>
      <c r="F34" s="58">
        <f>1/30</f>
        <v>0.03333333333333333</v>
      </c>
      <c r="G34" s="56" t="s">
        <v>96</v>
      </c>
      <c r="H34" s="66" t="s">
        <v>97</v>
      </c>
      <c r="I34" s="55">
        <v>30</v>
      </c>
      <c r="J34" s="55">
        <v>30</v>
      </c>
      <c r="K34" s="55">
        <v>30</v>
      </c>
      <c r="L34" s="67">
        <f>ROUND(E34/60*$L$2/147.7*F34,2)</f>
        <v>0.33</v>
      </c>
      <c r="M34" s="176">
        <v>30</v>
      </c>
      <c r="N34" s="67">
        <v>1</v>
      </c>
      <c r="O34" s="67">
        <v>60</v>
      </c>
      <c r="P34" s="67">
        <f t="shared" si="6"/>
        <v>9.9</v>
      </c>
      <c r="Q34" s="67">
        <f t="shared" si="6"/>
        <v>0.33</v>
      </c>
      <c r="R34" s="67">
        <f t="shared" si="6"/>
        <v>19.8</v>
      </c>
      <c r="S34" s="57">
        <f t="shared" si="9"/>
        <v>297</v>
      </c>
      <c r="T34" s="57">
        <f t="shared" si="9"/>
        <v>9.9</v>
      </c>
      <c r="U34" s="57">
        <f t="shared" si="9"/>
        <v>594</v>
      </c>
      <c r="V34" s="57"/>
      <c r="W34" s="57"/>
      <c r="X34" s="57"/>
      <c r="Y34" s="57"/>
      <c r="AA34" s="36"/>
      <c r="AB34" s="36"/>
      <c r="AC34" s="159">
        <f t="shared" si="10"/>
        <v>0</v>
      </c>
      <c r="AD34" s="159">
        <f t="shared" si="10"/>
        <v>0</v>
      </c>
      <c r="AE34" s="159"/>
      <c r="AF34" s="159">
        <f t="shared" si="10"/>
        <v>0</v>
      </c>
      <c r="AG34" s="159"/>
      <c r="AH34" s="159">
        <f t="shared" si="11"/>
        <v>0</v>
      </c>
    </row>
    <row r="35" spans="2:34" ht="79.5" customHeight="1">
      <c r="B35" s="388"/>
      <c r="C35" s="450"/>
      <c r="D35" s="68" t="s">
        <v>99</v>
      </c>
      <c r="E35" s="55">
        <v>7</v>
      </c>
      <c r="F35" s="58">
        <f>4/30</f>
        <v>0.13333333333333333</v>
      </c>
      <c r="G35" s="56" t="s">
        <v>12</v>
      </c>
      <c r="H35" s="66" t="s">
        <v>100</v>
      </c>
      <c r="I35" s="55">
        <v>30</v>
      </c>
      <c r="J35" s="55">
        <v>30</v>
      </c>
      <c r="K35" s="55">
        <v>30</v>
      </c>
      <c r="L35" s="67">
        <f>ROUND(E35/60*$L$3/147.7*F35,2)</f>
        <v>7.87</v>
      </c>
      <c r="M35" s="67">
        <v>5</v>
      </c>
      <c r="N35" s="67">
        <v>1</v>
      </c>
      <c r="O35" s="67">
        <v>5</v>
      </c>
      <c r="P35" s="67">
        <f t="shared" si="6"/>
        <v>39.35</v>
      </c>
      <c r="Q35" s="67">
        <f t="shared" si="6"/>
        <v>7.87</v>
      </c>
      <c r="R35" s="67">
        <f t="shared" si="6"/>
        <v>39.35</v>
      </c>
      <c r="S35" s="57">
        <f t="shared" si="9"/>
        <v>1180.5</v>
      </c>
      <c r="T35" s="57">
        <f t="shared" si="9"/>
        <v>236.1</v>
      </c>
      <c r="U35" s="57">
        <f t="shared" si="9"/>
        <v>1180.5</v>
      </c>
      <c r="V35" s="57"/>
      <c r="W35" s="57"/>
      <c r="X35" s="57"/>
      <c r="Y35" s="57"/>
      <c r="AA35" s="36"/>
      <c r="AB35" s="36"/>
      <c r="AC35" s="159">
        <f t="shared" si="10"/>
        <v>0</v>
      </c>
      <c r="AD35" s="159">
        <f t="shared" si="10"/>
        <v>0</v>
      </c>
      <c r="AE35" s="159"/>
      <c r="AF35" s="159">
        <f t="shared" si="10"/>
        <v>0</v>
      </c>
      <c r="AG35" s="159"/>
      <c r="AH35" s="159">
        <f t="shared" si="11"/>
        <v>0</v>
      </c>
    </row>
    <row r="36" spans="2:34" ht="67.5" customHeight="1">
      <c r="B36" s="388"/>
      <c r="C36" s="450"/>
      <c r="D36" s="65" t="s">
        <v>101</v>
      </c>
      <c r="E36" s="55">
        <v>5</v>
      </c>
      <c r="F36" s="58">
        <f>1/30</f>
        <v>0.03333333333333333</v>
      </c>
      <c r="G36" s="56" t="s">
        <v>12</v>
      </c>
      <c r="H36" s="66" t="s">
        <v>102</v>
      </c>
      <c r="I36" s="55">
        <v>30</v>
      </c>
      <c r="J36" s="55">
        <v>30</v>
      </c>
      <c r="K36" s="55">
        <v>30</v>
      </c>
      <c r="L36" s="67">
        <f>ROUND(E36/60*$L$3/147.7*F36,2)</f>
        <v>1.41</v>
      </c>
      <c r="M36" s="67">
        <v>20</v>
      </c>
      <c r="N36" s="67">
        <v>1</v>
      </c>
      <c r="O36" s="67">
        <v>20</v>
      </c>
      <c r="P36" s="67">
        <f t="shared" si="6"/>
        <v>28.2</v>
      </c>
      <c r="Q36" s="67">
        <f t="shared" si="6"/>
        <v>1.41</v>
      </c>
      <c r="R36" s="67">
        <f t="shared" si="6"/>
        <v>28.2</v>
      </c>
      <c r="S36" s="57">
        <f t="shared" si="9"/>
        <v>846</v>
      </c>
      <c r="T36" s="57">
        <f t="shared" si="9"/>
        <v>42.3</v>
      </c>
      <c r="U36" s="57">
        <f t="shared" si="9"/>
        <v>846</v>
      </c>
      <c r="V36" s="57"/>
      <c r="W36" s="57"/>
      <c r="X36" s="57"/>
      <c r="Y36" s="57"/>
      <c r="AA36" s="36"/>
      <c r="AB36" s="36"/>
      <c r="AC36" s="159">
        <f t="shared" si="10"/>
        <v>0</v>
      </c>
      <c r="AD36" s="159">
        <f t="shared" si="10"/>
        <v>0</v>
      </c>
      <c r="AE36" s="159"/>
      <c r="AF36" s="159">
        <f t="shared" si="10"/>
        <v>0</v>
      </c>
      <c r="AG36" s="159"/>
      <c r="AH36" s="159">
        <f t="shared" si="11"/>
        <v>0</v>
      </c>
    </row>
    <row r="37" spans="2:34" ht="69.75" customHeight="1">
      <c r="B37" s="388"/>
      <c r="C37" s="450"/>
      <c r="D37" s="69" t="s">
        <v>103</v>
      </c>
      <c r="E37" s="55">
        <v>2</v>
      </c>
      <c r="F37" s="58">
        <f>20/30</f>
        <v>0.6666666666666666</v>
      </c>
      <c r="G37" s="56" t="s">
        <v>96</v>
      </c>
      <c r="H37" s="66" t="s">
        <v>104</v>
      </c>
      <c r="I37" s="55">
        <v>30</v>
      </c>
      <c r="J37" s="55">
        <v>30</v>
      </c>
      <c r="K37" s="55">
        <v>30</v>
      </c>
      <c r="L37" s="67">
        <f>ROUND(E37/60*$L$2/147.7*F37,2)</f>
        <v>6.53</v>
      </c>
      <c r="M37" s="67">
        <v>2</v>
      </c>
      <c r="N37" s="67">
        <v>1</v>
      </c>
      <c r="O37" s="67">
        <v>2.8</v>
      </c>
      <c r="P37" s="67">
        <f t="shared" si="6"/>
        <v>13.06</v>
      </c>
      <c r="Q37" s="67">
        <f t="shared" si="6"/>
        <v>6.53</v>
      </c>
      <c r="R37" s="67">
        <f t="shared" si="6"/>
        <v>18.28</v>
      </c>
      <c r="S37" s="57">
        <f t="shared" si="9"/>
        <v>391.8</v>
      </c>
      <c r="T37" s="57">
        <f t="shared" si="9"/>
        <v>195.9</v>
      </c>
      <c r="U37" s="57">
        <f t="shared" si="9"/>
        <v>548.4000000000001</v>
      </c>
      <c r="V37" s="57"/>
      <c r="W37" s="57"/>
      <c r="X37" s="57"/>
      <c r="Y37" s="57"/>
      <c r="AA37" s="36"/>
      <c r="AB37" s="36"/>
      <c r="AC37" s="159">
        <f t="shared" si="10"/>
        <v>0</v>
      </c>
      <c r="AD37" s="159">
        <f t="shared" si="10"/>
        <v>0</v>
      </c>
      <c r="AE37" s="159"/>
      <c r="AF37" s="159">
        <f t="shared" si="10"/>
        <v>0</v>
      </c>
      <c r="AG37" s="159"/>
      <c r="AH37" s="159">
        <f t="shared" si="11"/>
        <v>0</v>
      </c>
    </row>
    <row r="38" spans="2:34" ht="42.75" customHeight="1">
      <c r="B38" s="388"/>
      <c r="C38" s="450"/>
      <c r="D38" s="65" t="s">
        <v>105</v>
      </c>
      <c r="E38" s="55">
        <v>5</v>
      </c>
      <c r="F38" s="58">
        <f>1/30</f>
        <v>0.03333333333333333</v>
      </c>
      <c r="G38" s="56" t="s">
        <v>96</v>
      </c>
      <c r="H38" s="66" t="s">
        <v>97</v>
      </c>
      <c r="I38" s="55">
        <v>30</v>
      </c>
      <c r="J38" s="55">
        <v>30</v>
      </c>
      <c r="K38" s="55">
        <v>30</v>
      </c>
      <c r="L38" s="67">
        <f>ROUND(E38/60*$L$2/147.7*F38,2)</f>
        <v>0.82</v>
      </c>
      <c r="M38" s="67">
        <v>30</v>
      </c>
      <c r="N38" s="67">
        <v>1</v>
      </c>
      <c r="O38" s="67">
        <v>30</v>
      </c>
      <c r="P38" s="67">
        <f t="shared" si="6"/>
        <v>24.6</v>
      </c>
      <c r="Q38" s="67">
        <f t="shared" si="6"/>
        <v>0.82</v>
      </c>
      <c r="R38" s="67">
        <f t="shared" si="6"/>
        <v>24.6</v>
      </c>
      <c r="S38" s="57">
        <f t="shared" si="9"/>
        <v>738</v>
      </c>
      <c r="T38" s="57">
        <f t="shared" si="9"/>
        <v>24.599999999999998</v>
      </c>
      <c r="U38" s="57">
        <f t="shared" si="9"/>
        <v>738</v>
      </c>
      <c r="V38" s="57"/>
      <c r="W38" s="57"/>
      <c r="X38" s="57"/>
      <c r="Y38" s="57"/>
      <c r="AA38" s="36"/>
      <c r="AB38" s="36"/>
      <c r="AC38" s="159">
        <f t="shared" si="10"/>
        <v>0</v>
      </c>
      <c r="AD38" s="159">
        <f t="shared" si="10"/>
        <v>0</v>
      </c>
      <c r="AE38" s="159"/>
      <c r="AF38" s="159">
        <f t="shared" si="10"/>
        <v>0</v>
      </c>
      <c r="AG38" s="159"/>
      <c r="AH38" s="159">
        <f t="shared" si="11"/>
        <v>0</v>
      </c>
    </row>
    <row r="39" spans="2:34" ht="23.25" customHeight="1">
      <c r="B39" s="388"/>
      <c r="C39" s="450"/>
      <c r="D39" s="65" t="s">
        <v>106</v>
      </c>
      <c r="E39" s="174">
        <v>8</v>
      </c>
      <c r="F39" s="58">
        <f>1/90</f>
        <v>0.011111111111111112</v>
      </c>
      <c r="G39" s="56" t="s">
        <v>96</v>
      </c>
      <c r="H39" s="66" t="s">
        <v>97</v>
      </c>
      <c r="I39" s="55">
        <v>30</v>
      </c>
      <c r="J39" s="55">
        <v>30</v>
      </c>
      <c r="K39" s="55">
        <v>30</v>
      </c>
      <c r="L39" s="67">
        <f>ROUND(E39/60*$L$2/147.7*F39,2)</f>
        <v>0.44</v>
      </c>
      <c r="M39" s="176">
        <v>30</v>
      </c>
      <c r="N39" s="67">
        <v>1</v>
      </c>
      <c r="O39" s="67">
        <v>36</v>
      </c>
      <c r="P39" s="67">
        <f t="shared" si="6"/>
        <v>13.2</v>
      </c>
      <c r="Q39" s="67">
        <f t="shared" si="6"/>
        <v>0.44</v>
      </c>
      <c r="R39" s="67">
        <f t="shared" si="6"/>
        <v>15.84</v>
      </c>
      <c r="S39" s="57">
        <f t="shared" si="9"/>
        <v>396</v>
      </c>
      <c r="T39" s="57">
        <f t="shared" si="9"/>
        <v>13.2</v>
      </c>
      <c r="U39" s="57">
        <f t="shared" si="9"/>
        <v>475.2</v>
      </c>
      <c r="V39" s="57"/>
      <c r="W39" s="57"/>
      <c r="X39" s="57"/>
      <c r="Y39" s="57"/>
      <c r="AA39" s="36"/>
      <c r="AB39" s="36"/>
      <c r="AC39" s="159">
        <f t="shared" si="10"/>
        <v>0</v>
      </c>
      <c r="AD39" s="159">
        <f t="shared" si="10"/>
        <v>0</v>
      </c>
      <c r="AE39" s="159"/>
      <c r="AF39" s="159">
        <f t="shared" si="10"/>
        <v>0</v>
      </c>
      <c r="AG39" s="159"/>
      <c r="AH39" s="159">
        <f t="shared" si="11"/>
        <v>0</v>
      </c>
    </row>
    <row r="40" spans="2:34" ht="31.5" customHeight="1">
      <c r="B40" s="388"/>
      <c r="C40" s="450"/>
      <c r="D40" s="65" t="s">
        <v>107</v>
      </c>
      <c r="E40" s="174">
        <v>8</v>
      </c>
      <c r="F40" s="58">
        <f>1/90</f>
        <v>0.011111111111111112</v>
      </c>
      <c r="G40" s="56" t="s">
        <v>96</v>
      </c>
      <c r="H40" s="66" t="s">
        <v>97</v>
      </c>
      <c r="I40" s="55">
        <v>30</v>
      </c>
      <c r="J40" s="55">
        <v>30</v>
      </c>
      <c r="K40" s="55">
        <v>30</v>
      </c>
      <c r="L40" s="67">
        <f>ROUND(E40/60*$L$2/147.7*F40,2)</f>
        <v>0.44</v>
      </c>
      <c r="M40" s="176">
        <v>30</v>
      </c>
      <c r="N40" s="67">
        <v>1</v>
      </c>
      <c r="O40" s="67">
        <v>84</v>
      </c>
      <c r="P40" s="67">
        <f>ROUND($L40*M40,2)</f>
        <v>13.2</v>
      </c>
      <c r="Q40" s="67">
        <f t="shared" si="6"/>
        <v>0.44</v>
      </c>
      <c r="R40" s="67">
        <f t="shared" si="6"/>
        <v>36.96</v>
      </c>
      <c r="S40" s="57">
        <f t="shared" si="9"/>
        <v>396</v>
      </c>
      <c r="T40" s="57">
        <f t="shared" si="9"/>
        <v>13.2</v>
      </c>
      <c r="U40" s="57">
        <f t="shared" si="9"/>
        <v>1108.8</v>
      </c>
      <c r="V40" s="57"/>
      <c r="W40" s="57"/>
      <c r="X40" s="57"/>
      <c r="Y40" s="57"/>
      <c r="AA40" s="36"/>
      <c r="AB40" s="36"/>
      <c r="AC40" s="159">
        <f t="shared" si="10"/>
        <v>0</v>
      </c>
      <c r="AD40" s="159">
        <f t="shared" si="10"/>
        <v>0</v>
      </c>
      <c r="AE40" s="159"/>
      <c r="AF40" s="159">
        <f t="shared" si="10"/>
        <v>0</v>
      </c>
      <c r="AG40" s="159"/>
      <c r="AH40" s="159">
        <f t="shared" si="11"/>
        <v>0</v>
      </c>
    </row>
    <row r="41" spans="2:34" ht="43.5" customHeight="1">
      <c r="B41" s="388"/>
      <c r="C41" s="450"/>
      <c r="D41" s="65" t="s">
        <v>108</v>
      </c>
      <c r="E41" s="55">
        <v>7</v>
      </c>
      <c r="F41" s="58">
        <f>1/180</f>
        <v>0.005555555555555556</v>
      </c>
      <c r="G41" s="56" t="s">
        <v>96</v>
      </c>
      <c r="H41" s="66" t="s">
        <v>97</v>
      </c>
      <c r="I41" s="55">
        <v>30</v>
      </c>
      <c r="J41" s="55">
        <v>30</v>
      </c>
      <c r="K41" s="55">
        <v>30</v>
      </c>
      <c r="L41" s="67">
        <f>ROUND(E41/60*$L$2/147.7*F41,2)</f>
        <v>0.19</v>
      </c>
      <c r="M41" s="67">
        <v>6</v>
      </c>
      <c r="N41" s="67">
        <v>1</v>
      </c>
      <c r="O41" s="67">
        <v>6</v>
      </c>
      <c r="P41" s="67">
        <f t="shared" si="6"/>
        <v>1.14</v>
      </c>
      <c r="Q41" s="67">
        <f t="shared" si="6"/>
        <v>0.19</v>
      </c>
      <c r="R41" s="67">
        <f t="shared" si="6"/>
        <v>1.14</v>
      </c>
      <c r="S41" s="57">
        <f t="shared" si="9"/>
        <v>34.199999999999996</v>
      </c>
      <c r="T41" s="57">
        <f t="shared" si="9"/>
        <v>5.7</v>
      </c>
      <c r="U41" s="57">
        <f t="shared" si="9"/>
        <v>34.199999999999996</v>
      </c>
      <c r="V41" s="57"/>
      <c r="W41" s="57"/>
      <c r="X41" s="57"/>
      <c r="Y41" s="57"/>
      <c r="AA41" s="36"/>
      <c r="AB41" s="36"/>
      <c r="AC41" s="159">
        <f t="shared" si="10"/>
        <v>0</v>
      </c>
      <c r="AD41" s="159">
        <f t="shared" si="10"/>
        <v>0</v>
      </c>
      <c r="AE41" s="159"/>
      <c r="AF41" s="159">
        <f t="shared" si="10"/>
        <v>0</v>
      </c>
      <c r="AG41" s="159"/>
      <c r="AH41" s="159">
        <f t="shared" si="11"/>
        <v>0</v>
      </c>
    </row>
    <row r="42" spans="2:34" ht="30.75" customHeight="1">
      <c r="B42" s="388"/>
      <c r="C42" s="450"/>
      <c r="D42" s="70" t="s">
        <v>109</v>
      </c>
      <c r="E42" s="71">
        <v>5</v>
      </c>
      <c r="F42" s="58">
        <f>4/30</f>
        <v>0.13333333333333333</v>
      </c>
      <c r="G42" s="53" t="s">
        <v>43</v>
      </c>
      <c r="H42" s="72" t="s">
        <v>110</v>
      </c>
      <c r="I42" s="55">
        <v>30</v>
      </c>
      <c r="J42" s="55">
        <v>30</v>
      </c>
      <c r="K42" s="55">
        <v>30</v>
      </c>
      <c r="L42" s="67">
        <f>ROUND(E42/60*$L$1/147.7*F42,2)</f>
        <v>2.22</v>
      </c>
      <c r="M42" s="176">
        <v>1</v>
      </c>
      <c r="N42" s="67">
        <v>1</v>
      </c>
      <c r="O42" s="67">
        <v>7</v>
      </c>
      <c r="P42" s="67">
        <f>ROUND($L42*M42,2)</f>
        <v>2.22</v>
      </c>
      <c r="Q42" s="67">
        <f t="shared" si="6"/>
        <v>2.22</v>
      </c>
      <c r="R42" s="67">
        <f t="shared" si="6"/>
        <v>15.54</v>
      </c>
      <c r="S42" s="57">
        <f t="shared" si="9"/>
        <v>66.60000000000001</v>
      </c>
      <c r="T42" s="57">
        <f t="shared" si="9"/>
        <v>66.60000000000001</v>
      </c>
      <c r="U42" s="57">
        <f t="shared" si="9"/>
        <v>466.2</v>
      </c>
      <c r="V42" s="57"/>
      <c r="W42" s="57"/>
      <c r="X42" s="57"/>
      <c r="Y42" s="57"/>
      <c r="AA42" s="36"/>
      <c r="AB42" s="36"/>
      <c r="AC42" s="159">
        <f t="shared" si="10"/>
        <v>0</v>
      </c>
      <c r="AD42" s="159">
        <f t="shared" si="10"/>
        <v>0</v>
      </c>
      <c r="AE42" s="159"/>
      <c r="AF42" s="159">
        <f t="shared" si="10"/>
        <v>0</v>
      </c>
      <c r="AG42" s="159"/>
      <c r="AH42" s="159">
        <f t="shared" si="11"/>
        <v>0</v>
      </c>
    </row>
    <row r="43" spans="2:34" ht="65.25" customHeight="1">
      <c r="B43" s="387" t="s">
        <v>111</v>
      </c>
      <c r="C43" s="433" t="s">
        <v>112</v>
      </c>
      <c r="D43" s="26"/>
      <c r="E43" s="9">
        <f>SUM(E44:E45)</f>
        <v>15</v>
      </c>
      <c r="F43" s="9">
        <f>SUM(F44:F45)</f>
        <v>0.0027397260273972603</v>
      </c>
      <c r="G43" s="10"/>
      <c r="H43" s="51"/>
      <c r="I43" s="26"/>
      <c r="J43" s="26"/>
      <c r="K43" s="26"/>
      <c r="L43" s="64">
        <f>SUM(L44:L45)</f>
        <v>0.2</v>
      </c>
      <c r="M43" s="64">
        <f>SUM(M44:M45)</f>
        <v>0</v>
      </c>
      <c r="N43" s="64">
        <f>SUM(N44:N45)</f>
        <v>1</v>
      </c>
      <c r="O43" s="64">
        <f>SUM(O44:O45)</f>
        <v>1</v>
      </c>
      <c r="P43" s="64">
        <f t="shared" si="6"/>
        <v>0</v>
      </c>
      <c r="Q43" s="64">
        <f t="shared" si="6"/>
        <v>0.2</v>
      </c>
      <c r="R43" s="64">
        <f t="shared" si="6"/>
        <v>0.2</v>
      </c>
      <c r="S43" s="34">
        <f>SUM(S44:S45)</f>
        <v>0</v>
      </c>
      <c r="T43" s="34">
        <f>SUM(T44:T45)</f>
        <v>6</v>
      </c>
      <c r="U43" s="34">
        <f>SUM(U44:U45)</f>
        <v>6</v>
      </c>
      <c r="V43" s="34"/>
      <c r="W43" s="34">
        <f>SUM(W44:W45)</f>
        <v>0</v>
      </c>
      <c r="X43" s="34">
        <f>SUM(X44:X45)</f>
        <v>0</v>
      </c>
      <c r="Y43" s="34">
        <f>SUM(Y44:Y45)</f>
        <v>0</v>
      </c>
      <c r="AA43" s="36">
        <f>V43+L43</f>
        <v>0.2</v>
      </c>
      <c r="AB43" s="36">
        <f>W43+S43</f>
        <v>0</v>
      </c>
      <c r="AC43" s="157">
        <v>300</v>
      </c>
      <c r="AD43" s="157">
        <f>AC43*$T43</f>
        <v>1800</v>
      </c>
      <c r="AE43" s="157">
        <v>50</v>
      </c>
      <c r="AF43" s="157">
        <f>AE43*$T43</f>
        <v>300</v>
      </c>
      <c r="AG43" s="157">
        <v>25</v>
      </c>
      <c r="AH43" s="157">
        <f>AG43*$T43</f>
        <v>150</v>
      </c>
    </row>
    <row r="44" spans="2:34" ht="63">
      <c r="B44" s="388"/>
      <c r="C44" s="434"/>
      <c r="D44" s="73" t="s">
        <v>113</v>
      </c>
      <c r="E44" s="55"/>
      <c r="F44" s="55"/>
      <c r="G44" s="55"/>
      <c r="H44" s="54"/>
      <c r="I44" s="55"/>
      <c r="J44" s="55"/>
      <c r="K44" s="55"/>
      <c r="L44" s="67">
        <f>ROUND(E44/60*$L$1/147.7,2)</f>
        <v>0</v>
      </c>
      <c r="M44" s="67">
        <f>ROUND(F44/60*$L$1/147.7,2)</f>
        <v>0</v>
      </c>
      <c r="N44" s="67">
        <v>0</v>
      </c>
      <c r="O44" s="67">
        <v>0</v>
      </c>
      <c r="P44" s="67">
        <f t="shared" si="6"/>
        <v>0</v>
      </c>
      <c r="Q44" s="67">
        <f t="shared" si="6"/>
        <v>0</v>
      </c>
      <c r="R44" s="67">
        <f t="shared" si="6"/>
        <v>0</v>
      </c>
      <c r="S44" s="57">
        <f aca="true" t="shared" si="12" ref="S44:U45">P44*I44</f>
        <v>0</v>
      </c>
      <c r="T44" s="57">
        <f t="shared" si="12"/>
        <v>0</v>
      </c>
      <c r="U44" s="57">
        <f t="shared" si="12"/>
        <v>0</v>
      </c>
      <c r="V44" s="57"/>
      <c r="W44" s="57"/>
      <c r="X44" s="57"/>
      <c r="Y44" s="57"/>
      <c r="AA44" s="36"/>
      <c r="AB44" s="36"/>
      <c r="AC44" s="159">
        <f aca="true" t="shared" si="13" ref="AC44:AF45">Z44*S44</f>
        <v>0</v>
      </c>
      <c r="AD44" s="159">
        <f t="shared" si="13"/>
        <v>0</v>
      </c>
      <c r="AE44" s="159"/>
      <c r="AF44" s="159">
        <f t="shared" si="13"/>
        <v>0</v>
      </c>
      <c r="AG44" s="159"/>
      <c r="AH44" s="159">
        <f>AF44*Y44</f>
        <v>0</v>
      </c>
    </row>
    <row r="45" spans="2:34" ht="41.25" customHeight="1">
      <c r="B45" s="388"/>
      <c r="C45" s="434"/>
      <c r="D45" s="54" t="s">
        <v>114</v>
      </c>
      <c r="E45" s="55">
        <v>15</v>
      </c>
      <c r="F45" s="74">
        <f>1/365</f>
        <v>0.0027397260273972603</v>
      </c>
      <c r="G45" s="55" t="s">
        <v>96</v>
      </c>
      <c r="H45" s="54" t="s">
        <v>115</v>
      </c>
      <c r="I45" s="75">
        <v>30</v>
      </c>
      <c r="J45" s="75">
        <v>30</v>
      </c>
      <c r="K45" s="75">
        <v>30</v>
      </c>
      <c r="L45" s="67">
        <f>ROUND(E45/60*$L$2/147.7*F45,2)</f>
        <v>0.2</v>
      </c>
      <c r="M45" s="176">
        <v>0</v>
      </c>
      <c r="N45" s="67">
        <v>1</v>
      </c>
      <c r="O45" s="67">
        <v>1</v>
      </c>
      <c r="P45" s="67">
        <f>ROUND($L45*M45,2)</f>
        <v>0</v>
      </c>
      <c r="Q45" s="67">
        <f t="shared" si="6"/>
        <v>0.2</v>
      </c>
      <c r="R45" s="67">
        <f t="shared" si="6"/>
        <v>0.2</v>
      </c>
      <c r="S45" s="57">
        <f t="shared" si="12"/>
        <v>0</v>
      </c>
      <c r="T45" s="57">
        <f t="shared" si="12"/>
        <v>6</v>
      </c>
      <c r="U45" s="57">
        <f t="shared" si="12"/>
        <v>6</v>
      </c>
      <c r="V45" s="57"/>
      <c r="W45" s="57"/>
      <c r="X45" s="57"/>
      <c r="Y45" s="57"/>
      <c r="AA45" s="36"/>
      <c r="AB45" s="36"/>
      <c r="AC45" s="159">
        <f t="shared" si="13"/>
        <v>0</v>
      </c>
      <c r="AD45" s="159">
        <f t="shared" si="13"/>
        <v>0</v>
      </c>
      <c r="AE45" s="159"/>
      <c r="AF45" s="159">
        <f t="shared" si="13"/>
        <v>0</v>
      </c>
      <c r="AG45" s="159"/>
      <c r="AH45" s="159">
        <f>AF45*Y45</f>
        <v>0</v>
      </c>
    </row>
    <row r="46" spans="2:34" ht="77.25" customHeight="1">
      <c r="B46" s="387" t="s">
        <v>116</v>
      </c>
      <c r="C46" s="387" t="s">
        <v>117</v>
      </c>
      <c r="D46" s="76"/>
      <c r="E46" s="9">
        <f>SUM(E47:E48)</f>
        <v>35</v>
      </c>
      <c r="F46" s="9">
        <f>SUM(F47:F48)</f>
        <v>0.008219178082191782</v>
      </c>
      <c r="G46" s="9"/>
      <c r="H46" s="26"/>
      <c r="I46" s="26"/>
      <c r="J46" s="26"/>
      <c r="K46" s="26"/>
      <c r="L46" s="64">
        <f>SUM(L47:L48)</f>
        <v>0.82</v>
      </c>
      <c r="M46" s="64">
        <v>1</v>
      </c>
      <c r="N46" s="64">
        <v>1</v>
      </c>
      <c r="O46" s="64">
        <v>1</v>
      </c>
      <c r="P46" s="64">
        <f t="shared" si="6"/>
        <v>0.82</v>
      </c>
      <c r="Q46" s="64">
        <f t="shared" si="6"/>
        <v>0.82</v>
      </c>
      <c r="R46" s="64">
        <f t="shared" si="6"/>
        <v>0.82</v>
      </c>
      <c r="S46" s="34">
        <f>SUM(S47:S48)</f>
        <v>24.6</v>
      </c>
      <c r="T46" s="34">
        <f>SUM(T47:T48)</f>
        <v>24.6</v>
      </c>
      <c r="U46" s="34">
        <f>SUM(U47:U48)</f>
        <v>24.6</v>
      </c>
      <c r="V46" s="34"/>
      <c r="W46" s="34">
        <f>SUM(W47:W48)</f>
        <v>0</v>
      </c>
      <c r="X46" s="34">
        <f>SUM(X47:X48)</f>
        <v>0</v>
      </c>
      <c r="Y46" s="34">
        <f>SUM(Y47:Y48)</f>
        <v>0</v>
      </c>
      <c r="AA46" s="36">
        <f>V46+L46</f>
        <v>0.82</v>
      </c>
      <c r="AB46" s="36">
        <f>W46+S46</f>
        <v>24.6</v>
      </c>
      <c r="AC46" s="157">
        <v>390</v>
      </c>
      <c r="AD46" s="157">
        <f>AC46*$T46</f>
        <v>9594</v>
      </c>
      <c r="AE46" s="157">
        <v>50</v>
      </c>
      <c r="AF46" s="157">
        <f>AE46*$T46</f>
        <v>1230</v>
      </c>
      <c r="AG46" s="157">
        <v>25</v>
      </c>
      <c r="AH46" s="157">
        <f>AG46*$T46</f>
        <v>615</v>
      </c>
    </row>
    <row r="47" spans="2:34" ht="42" customHeight="1">
      <c r="B47" s="388"/>
      <c r="C47" s="388"/>
      <c r="D47" s="77" t="s">
        <v>118</v>
      </c>
      <c r="E47" s="55">
        <v>5</v>
      </c>
      <c r="F47" s="74">
        <f>2/365</f>
        <v>0.005479452054794521</v>
      </c>
      <c r="G47" s="55" t="s">
        <v>96</v>
      </c>
      <c r="H47" s="54" t="s">
        <v>97</v>
      </c>
      <c r="I47" s="75">
        <v>30</v>
      </c>
      <c r="J47" s="75">
        <v>30</v>
      </c>
      <c r="K47" s="75">
        <v>30</v>
      </c>
      <c r="L47" s="67">
        <f>ROUND(E47/60*$L$2/147.7*F47,2)</f>
        <v>0.13</v>
      </c>
      <c r="M47" s="67">
        <v>1</v>
      </c>
      <c r="N47" s="67">
        <v>1</v>
      </c>
      <c r="O47" s="67">
        <v>1</v>
      </c>
      <c r="P47" s="67">
        <f t="shared" si="6"/>
        <v>0.13</v>
      </c>
      <c r="Q47" s="67">
        <f t="shared" si="6"/>
        <v>0.13</v>
      </c>
      <c r="R47" s="67">
        <f t="shared" si="6"/>
        <v>0.13</v>
      </c>
      <c r="S47" s="57">
        <f aca="true" t="shared" si="14" ref="S47:U48">P47*I47</f>
        <v>3.9000000000000004</v>
      </c>
      <c r="T47" s="57">
        <f t="shared" si="14"/>
        <v>3.9000000000000004</v>
      </c>
      <c r="U47" s="57">
        <f t="shared" si="14"/>
        <v>3.9000000000000004</v>
      </c>
      <c r="V47" s="57"/>
      <c r="W47" s="57"/>
      <c r="X47" s="57"/>
      <c r="Y47" s="57"/>
      <c r="AA47" s="36"/>
      <c r="AB47" s="36"/>
      <c r="AC47" s="159">
        <f aca="true" t="shared" si="15" ref="AC47:AF48">Z47*S47</f>
        <v>0</v>
      </c>
      <c r="AD47" s="159">
        <f t="shared" si="15"/>
        <v>0</v>
      </c>
      <c r="AE47" s="159"/>
      <c r="AF47" s="159">
        <f t="shared" si="15"/>
        <v>0</v>
      </c>
      <c r="AG47" s="159"/>
      <c r="AH47" s="159">
        <f>AF47*Y47</f>
        <v>0</v>
      </c>
    </row>
    <row r="48" spans="2:34" ht="48" customHeight="1">
      <c r="B48" s="388"/>
      <c r="C48" s="388"/>
      <c r="D48" s="78" t="s">
        <v>119</v>
      </c>
      <c r="E48" s="71">
        <v>30</v>
      </c>
      <c r="F48" s="74">
        <f>1/365</f>
        <v>0.0027397260273972603</v>
      </c>
      <c r="G48" s="71" t="s">
        <v>12</v>
      </c>
      <c r="H48" s="79" t="s">
        <v>12</v>
      </c>
      <c r="I48" s="75">
        <v>30</v>
      </c>
      <c r="J48" s="75">
        <v>30</v>
      </c>
      <c r="K48" s="75">
        <v>30</v>
      </c>
      <c r="L48" s="67">
        <f>ROUND(E48/60*$L$3/147.7*F48,2)</f>
        <v>0.69</v>
      </c>
      <c r="M48" s="67">
        <v>1</v>
      </c>
      <c r="N48" s="67">
        <v>1</v>
      </c>
      <c r="O48" s="67">
        <v>1</v>
      </c>
      <c r="P48" s="67">
        <f t="shared" si="6"/>
        <v>0.69</v>
      </c>
      <c r="Q48" s="67">
        <f t="shared" si="6"/>
        <v>0.69</v>
      </c>
      <c r="R48" s="67">
        <f t="shared" si="6"/>
        <v>0.69</v>
      </c>
      <c r="S48" s="57">
        <f t="shared" si="14"/>
        <v>20.7</v>
      </c>
      <c r="T48" s="57">
        <f t="shared" si="14"/>
        <v>20.7</v>
      </c>
      <c r="U48" s="57">
        <f t="shared" si="14"/>
        <v>20.7</v>
      </c>
      <c r="V48" s="57"/>
      <c r="W48" s="57"/>
      <c r="X48" s="57"/>
      <c r="Y48" s="57"/>
      <c r="AA48" s="36"/>
      <c r="AB48" s="36"/>
      <c r="AC48" s="159">
        <f t="shared" si="15"/>
        <v>0</v>
      </c>
      <c r="AD48" s="159">
        <f t="shared" si="15"/>
        <v>0</v>
      </c>
      <c r="AE48" s="159"/>
      <c r="AF48" s="159">
        <f t="shared" si="15"/>
        <v>0</v>
      </c>
      <c r="AG48" s="159"/>
      <c r="AH48" s="159">
        <f>AF48*Y48</f>
        <v>0</v>
      </c>
    </row>
    <row r="49" spans="2:34" ht="66.75" customHeight="1">
      <c r="B49" s="387" t="s">
        <v>120</v>
      </c>
      <c r="C49" s="426" t="s">
        <v>121</v>
      </c>
      <c r="D49" s="26"/>
      <c r="E49" s="9">
        <f>SUM(E50:E53)</f>
        <v>85</v>
      </c>
      <c r="F49" s="9">
        <f>SUM(F50:F53)</f>
        <v>0.01933028919330289</v>
      </c>
      <c r="G49" s="9"/>
      <c r="H49" s="26"/>
      <c r="I49" s="41"/>
      <c r="J49" s="41"/>
      <c r="K49" s="41"/>
      <c r="L49" s="64">
        <f>SUM(L50:L53)</f>
        <v>3.37</v>
      </c>
      <c r="M49" s="64">
        <f>SUM(M50:M53)</f>
        <v>4</v>
      </c>
      <c r="N49" s="64">
        <f>SUM(N50:N53)</f>
        <v>4</v>
      </c>
      <c r="O49" s="64">
        <f>SUM(O50:O53)</f>
        <v>4</v>
      </c>
      <c r="P49" s="64">
        <f t="shared" si="6"/>
        <v>13.48</v>
      </c>
      <c r="Q49" s="64">
        <f t="shared" si="6"/>
        <v>13.48</v>
      </c>
      <c r="R49" s="64">
        <f t="shared" si="6"/>
        <v>13.48</v>
      </c>
      <c r="S49" s="80">
        <f>SUM(S50:S53)</f>
        <v>101.10000000000001</v>
      </c>
      <c r="T49" s="80">
        <f>SUM(T50:T53)</f>
        <v>101.10000000000001</v>
      </c>
      <c r="U49" s="80">
        <f>SUM(U50:U53)</f>
        <v>101.10000000000001</v>
      </c>
      <c r="V49" s="80"/>
      <c r="W49" s="80">
        <f>SUM(W50:W53)</f>
        <v>0</v>
      </c>
      <c r="X49" s="80">
        <f>SUM(X50:X53)</f>
        <v>0</v>
      </c>
      <c r="Y49" s="80">
        <f>SUM(Y50:Y53)</f>
        <v>0</v>
      </c>
      <c r="AA49" s="81">
        <f>V49+L49</f>
        <v>3.37</v>
      </c>
      <c r="AB49" s="81">
        <f>W49+S49</f>
        <v>101.10000000000001</v>
      </c>
      <c r="AC49" s="161">
        <v>390</v>
      </c>
      <c r="AD49" s="161">
        <f>AC49*$T49</f>
        <v>39429</v>
      </c>
      <c r="AE49" s="161">
        <v>50</v>
      </c>
      <c r="AF49" s="161">
        <f>AE49*$T49</f>
        <v>5055</v>
      </c>
      <c r="AG49" s="161">
        <v>25</v>
      </c>
      <c r="AH49" s="161">
        <f>AG49*$T49</f>
        <v>2527.5</v>
      </c>
    </row>
    <row r="50" spans="2:34" ht="48" customHeight="1">
      <c r="B50" s="388"/>
      <c r="C50" s="427"/>
      <c r="D50" s="54" t="s">
        <v>122</v>
      </c>
      <c r="E50" s="55">
        <v>20</v>
      </c>
      <c r="F50" s="74">
        <f>1/365</f>
        <v>0.0027397260273972603</v>
      </c>
      <c r="G50" s="55" t="s">
        <v>12</v>
      </c>
      <c r="H50" s="54" t="s">
        <v>123</v>
      </c>
      <c r="I50" s="82">
        <v>30</v>
      </c>
      <c r="J50" s="82">
        <v>30</v>
      </c>
      <c r="K50" s="82">
        <v>30</v>
      </c>
      <c r="L50" s="67">
        <f>ROUND(E50/60*$L$3/147.7*F50,2)</f>
        <v>0.46</v>
      </c>
      <c r="M50" s="67">
        <v>1</v>
      </c>
      <c r="N50" s="67">
        <v>1</v>
      </c>
      <c r="O50" s="67">
        <v>1</v>
      </c>
      <c r="P50" s="67">
        <f t="shared" si="6"/>
        <v>0.46</v>
      </c>
      <c r="Q50" s="67">
        <f t="shared" si="6"/>
        <v>0.46</v>
      </c>
      <c r="R50" s="67">
        <f t="shared" si="6"/>
        <v>0.46</v>
      </c>
      <c r="S50" s="57">
        <f aca="true" t="shared" si="16" ref="S50:U55">P50*I50</f>
        <v>13.8</v>
      </c>
      <c r="T50" s="57">
        <f t="shared" si="16"/>
        <v>13.8</v>
      </c>
      <c r="U50" s="57">
        <f t="shared" si="16"/>
        <v>13.8</v>
      </c>
      <c r="V50" s="57"/>
      <c r="W50" s="57"/>
      <c r="X50" s="57"/>
      <c r="Y50" s="57"/>
      <c r="AA50" s="36"/>
      <c r="AB50" s="36"/>
      <c r="AC50" s="159">
        <f aca="true" t="shared" si="17" ref="AC50:AF53">Z50*S50</f>
        <v>0</v>
      </c>
      <c r="AD50" s="159">
        <f t="shared" si="17"/>
        <v>0</v>
      </c>
      <c r="AE50" s="159"/>
      <c r="AF50" s="159">
        <f t="shared" si="17"/>
        <v>0</v>
      </c>
      <c r="AG50" s="159"/>
      <c r="AH50" s="159">
        <f>AF50*Y50</f>
        <v>0</v>
      </c>
    </row>
    <row r="51" spans="2:34" ht="48" customHeight="1">
      <c r="B51" s="388"/>
      <c r="C51" s="427"/>
      <c r="D51" s="54" t="s">
        <v>124</v>
      </c>
      <c r="E51" s="55">
        <v>20</v>
      </c>
      <c r="F51" s="74">
        <f>1/90</f>
        <v>0.011111111111111112</v>
      </c>
      <c r="G51" s="55" t="s">
        <v>12</v>
      </c>
      <c r="H51" s="54" t="s">
        <v>102</v>
      </c>
      <c r="I51" s="75">
        <v>30</v>
      </c>
      <c r="J51" s="75">
        <v>30</v>
      </c>
      <c r="K51" s="75">
        <v>30</v>
      </c>
      <c r="L51" s="67">
        <f>ROUND(E51/60*$L$3/147.7*F51,2)</f>
        <v>1.87</v>
      </c>
      <c r="M51" s="67">
        <v>1</v>
      </c>
      <c r="N51" s="67">
        <v>1</v>
      </c>
      <c r="O51" s="67">
        <v>1</v>
      </c>
      <c r="P51" s="67">
        <f t="shared" si="6"/>
        <v>1.87</v>
      </c>
      <c r="Q51" s="67">
        <f t="shared" si="6"/>
        <v>1.87</v>
      </c>
      <c r="R51" s="67">
        <f t="shared" si="6"/>
        <v>1.87</v>
      </c>
      <c r="S51" s="57">
        <f t="shared" si="16"/>
        <v>56.1</v>
      </c>
      <c r="T51" s="57">
        <f t="shared" si="16"/>
        <v>56.1</v>
      </c>
      <c r="U51" s="57">
        <f t="shared" si="16"/>
        <v>56.1</v>
      </c>
      <c r="V51" s="57"/>
      <c r="W51" s="57"/>
      <c r="X51" s="57"/>
      <c r="Y51" s="57"/>
      <c r="AA51" s="36"/>
      <c r="AB51" s="36"/>
      <c r="AC51" s="159">
        <f t="shared" si="17"/>
        <v>0</v>
      </c>
      <c r="AD51" s="159">
        <f t="shared" si="17"/>
        <v>0</v>
      </c>
      <c r="AE51" s="159"/>
      <c r="AF51" s="159">
        <f t="shared" si="17"/>
        <v>0</v>
      </c>
      <c r="AG51" s="159"/>
      <c r="AH51" s="159">
        <f>AF51*Y51</f>
        <v>0</v>
      </c>
    </row>
    <row r="52" spans="2:34" ht="61.5" customHeight="1">
      <c r="B52" s="388"/>
      <c r="C52" s="427"/>
      <c r="D52" s="54" t="s">
        <v>125</v>
      </c>
      <c r="E52" s="55">
        <v>10</v>
      </c>
      <c r="F52" s="74">
        <f>1/365</f>
        <v>0.0027397260273972603</v>
      </c>
      <c r="G52" s="55" t="s">
        <v>12</v>
      </c>
      <c r="H52" s="54" t="s">
        <v>126</v>
      </c>
      <c r="I52" s="75">
        <v>30</v>
      </c>
      <c r="J52" s="75">
        <v>30</v>
      </c>
      <c r="K52" s="75">
        <v>30</v>
      </c>
      <c r="L52" s="67">
        <f>ROUND(E52/60*$L$3/147.7*F52,2)</f>
        <v>0.23</v>
      </c>
      <c r="M52" s="67">
        <v>1</v>
      </c>
      <c r="N52" s="67">
        <v>1</v>
      </c>
      <c r="O52" s="67">
        <v>1</v>
      </c>
      <c r="P52" s="67">
        <f t="shared" si="6"/>
        <v>0.23</v>
      </c>
      <c r="Q52" s="67">
        <f t="shared" si="6"/>
        <v>0.23</v>
      </c>
      <c r="R52" s="67">
        <f t="shared" si="6"/>
        <v>0.23</v>
      </c>
      <c r="S52" s="57">
        <f t="shared" si="16"/>
        <v>6.9</v>
      </c>
      <c r="T52" s="57">
        <f t="shared" si="16"/>
        <v>6.9</v>
      </c>
      <c r="U52" s="57">
        <f t="shared" si="16"/>
        <v>6.9</v>
      </c>
      <c r="V52" s="57"/>
      <c r="W52" s="57"/>
      <c r="X52" s="57"/>
      <c r="Y52" s="57"/>
      <c r="AA52" s="36"/>
      <c r="AB52" s="36"/>
      <c r="AC52" s="159">
        <f t="shared" si="17"/>
        <v>0</v>
      </c>
      <c r="AD52" s="159">
        <f t="shared" si="17"/>
        <v>0</v>
      </c>
      <c r="AE52" s="159"/>
      <c r="AF52" s="159">
        <f t="shared" si="17"/>
        <v>0</v>
      </c>
      <c r="AG52" s="159"/>
      <c r="AH52" s="159">
        <f>AF52*Y52</f>
        <v>0</v>
      </c>
    </row>
    <row r="53" spans="2:34" ht="57.75" customHeight="1">
      <c r="B53" s="389"/>
      <c r="C53" s="428"/>
      <c r="D53" s="54" t="s">
        <v>127</v>
      </c>
      <c r="E53" s="55">
        <v>35</v>
      </c>
      <c r="F53" s="74">
        <f>1/365</f>
        <v>0.0027397260273972603</v>
      </c>
      <c r="G53" s="55" t="s">
        <v>12</v>
      </c>
      <c r="H53" s="54" t="s">
        <v>123</v>
      </c>
      <c r="I53" s="75">
        <v>30</v>
      </c>
      <c r="J53" s="75">
        <v>30</v>
      </c>
      <c r="K53" s="75">
        <v>30</v>
      </c>
      <c r="L53" s="67">
        <f>ROUND(E53/60*$L$3/147.7*F53,2)</f>
        <v>0.81</v>
      </c>
      <c r="M53" s="67">
        <v>1</v>
      </c>
      <c r="N53" s="67">
        <v>1</v>
      </c>
      <c r="O53" s="67">
        <v>1</v>
      </c>
      <c r="P53" s="67">
        <f>ROUND($L53*M53,2)</f>
        <v>0.81</v>
      </c>
      <c r="Q53" s="67">
        <f t="shared" si="6"/>
        <v>0.81</v>
      </c>
      <c r="R53" s="67">
        <f t="shared" si="6"/>
        <v>0.81</v>
      </c>
      <c r="S53" s="57">
        <f t="shared" si="16"/>
        <v>24.3</v>
      </c>
      <c r="T53" s="57">
        <f t="shared" si="16"/>
        <v>24.3</v>
      </c>
      <c r="U53" s="57">
        <f t="shared" si="16"/>
        <v>24.3</v>
      </c>
      <c r="V53" s="57"/>
      <c r="W53" s="57"/>
      <c r="X53" s="57"/>
      <c r="Y53" s="57"/>
      <c r="AA53" s="36"/>
      <c r="AB53" s="36"/>
      <c r="AC53" s="159">
        <f t="shared" si="17"/>
        <v>0</v>
      </c>
      <c r="AD53" s="159">
        <f t="shared" si="17"/>
        <v>0</v>
      </c>
      <c r="AE53" s="159"/>
      <c r="AF53" s="159">
        <f t="shared" si="17"/>
        <v>0</v>
      </c>
      <c r="AG53" s="159"/>
      <c r="AH53" s="159">
        <f>AF53*Y53</f>
        <v>0</v>
      </c>
    </row>
    <row r="54" spans="2:34" ht="66.75" customHeight="1">
      <c r="B54" s="26" t="s">
        <v>128</v>
      </c>
      <c r="C54" s="40" t="s">
        <v>129</v>
      </c>
      <c r="D54" s="25" t="s">
        <v>130</v>
      </c>
      <c r="E54" s="83">
        <v>8</v>
      </c>
      <c r="F54" s="84">
        <f>20/30</f>
        <v>0.6666666666666666</v>
      </c>
      <c r="G54" s="83" t="s">
        <v>96</v>
      </c>
      <c r="H54" s="85" t="s">
        <v>97</v>
      </c>
      <c r="I54" s="42">
        <v>0</v>
      </c>
      <c r="J54" s="42">
        <v>30</v>
      </c>
      <c r="K54" s="42">
        <v>0</v>
      </c>
      <c r="L54" s="64">
        <f>ROUND(E54/60*$L$2/147.7*F54,2)</f>
        <v>26.12</v>
      </c>
      <c r="M54" s="33">
        <v>0</v>
      </c>
      <c r="N54" s="33">
        <v>1</v>
      </c>
      <c r="O54" s="33">
        <v>0</v>
      </c>
      <c r="P54" s="33">
        <f>ROUND($L54*M54,2)</f>
        <v>0</v>
      </c>
      <c r="Q54" s="33">
        <f t="shared" si="6"/>
        <v>26.12</v>
      </c>
      <c r="R54" s="33">
        <f t="shared" si="6"/>
        <v>0</v>
      </c>
      <c r="S54" s="34">
        <f t="shared" si="16"/>
        <v>0</v>
      </c>
      <c r="T54" s="34">
        <f t="shared" si="16"/>
        <v>783.6</v>
      </c>
      <c r="U54" s="34">
        <f t="shared" si="16"/>
        <v>0</v>
      </c>
      <c r="V54" s="34"/>
      <c r="W54" s="34"/>
      <c r="X54" s="34"/>
      <c r="Y54" s="34"/>
      <c r="AA54" s="36">
        <f>V54+L54</f>
        <v>26.12</v>
      </c>
      <c r="AB54" s="36">
        <f>W54+S54</f>
        <v>0</v>
      </c>
      <c r="AC54" s="157">
        <v>0</v>
      </c>
      <c r="AD54" s="157">
        <f>AC54*$T54</f>
        <v>0</v>
      </c>
      <c r="AE54" s="157">
        <v>50</v>
      </c>
      <c r="AF54" s="157">
        <f>AE54*$T54</f>
        <v>39180</v>
      </c>
      <c r="AG54" s="157">
        <v>25</v>
      </c>
      <c r="AH54" s="157">
        <f>AG54*$T54</f>
        <v>19590</v>
      </c>
    </row>
    <row r="55" spans="2:34" ht="126" customHeight="1">
      <c r="B55" s="26" t="s">
        <v>131</v>
      </c>
      <c r="C55" s="86" t="s">
        <v>132</v>
      </c>
      <c r="D55" s="87" t="s">
        <v>133</v>
      </c>
      <c r="E55" s="88">
        <v>25</v>
      </c>
      <c r="F55" s="84">
        <f>4/30</f>
        <v>0.13333333333333333</v>
      </c>
      <c r="G55" s="88" t="s">
        <v>96</v>
      </c>
      <c r="H55" s="41" t="s">
        <v>134</v>
      </c>
      <c r="I55" s="41">
        <v>30</v>
      </c>
      <c r="J55" s="41">
        <v>30</v>
      </c>
      <c r="K55" s="41">
        <v>30</v>
      </c>
      <c r="L55" s="64">
        <f>ROUND(E55/60*$L$2/147.7*F55,2)</f>
        <v>16.33</v>
      </c>
      <c r="M55" s="33">
        <v>5</v>
      </c>
      <c r="N55" s="33">
        <v>1</v>
      </c>
      <c r="O55" s="33">
        <v>7</v>
      </c>
      <c r="P55" s="33">
        <f>ROUND($L55*M55,2)</f>
        <v>81.65</v>
      </c>
      <c r="Q55" s="33">
        <f t="shared" si="6"/>
        <v>16.33</v>
      </c>
      <c r="R55" s="33">
        <f t="shared" si="6"/>
        <v>114.31</v>
      </c>
      <c r="S55" s="34">
        <f t="shared" si="16"/>
        <v>2449.5</v>
      </c>
      <c r="T55" s="34">
        <f t="shared" si="16"/>
        <v>489.9</v>
      </c>
      <c r="U55" s="34">
        <f t="shared" si="16"/>
        <v>3429.3</v>
      </c>
      <c r="V55" s="34"/>
      <c r="W55" s="34"/>
      <c r="X55" s="34"/>
      <c r="Y55" s="34"/>
      <c r="AA55" s="36">
        <f>V55+L55</f>
        <v>16.33</v>
      </c>
      <c r="AB55" s="36">
        <f>W55+S55</f>
        <v>2449.5</v>
      </c>
      <c r="AC55" s="157">
        <v>190</v>
      </c>
      <c r="AD55" s="157">
        <f>AC55*$T55</f>
        <v>93081</v>
      </c>
      <c r="AE55" s="157"/>
      <c r="AF55" s="157">
        <f>AE55*$T55</f>
        <v>0</v>
      </c>
      <c r="AG55" s="157">
        <v>25</v>
      </c>
      <c r="AH55" s="157">
        <f>AG55*$T55</f>
        <v>12247.5</v>
      </c>
    </row>
    <row r="56" spans="2:34" ht="21" customHeight="1">
      <c r="B56" s="16" t="s">
        <v>135</v>
      </c>
      <c r="C56" s="17"/>
      <c r="D56" s="18"/>
      <c r="E56" s="18"/>
      <c r="F56" s="18"/>
      <c r="G56" s="22" t="e">
        <f aca="true" t="shared" si="18" ref="G56:R56">G57+G58</f>
        <v>#VALUE!</v>
      </c>
      <c r="H56" s="22" t="e">
        <f t="shared" si="18"/>
        <v>#VALUE!</v>
      </c>
      <c r="I56" s="22">
        <f t="shared" si="18"/>
        <v>60</v>
      </c>
      <c r="J56" s="22">
        <f t="shared" si="18"/>
        <v>60</v>
      </c>
      <c r="K56" s="22">
        <f t="shared" si="18"/>
        <v>60</v>
      </c>
      <c r="L56" s="22">
        <f t="shared" si="18"/>
        <v>4.68</v>
      </c>
      <c r="M56" s="22">
        <f t="shared" si="18"/>
        <v>2</v>
      </c>
      <c r="N56" s="22">
        <f t="shared" si="18"/>
        <v>2</v>
      </c>
      <c r="O56" s="22">
        <f t="shared" si="18"/>
        <v>3</v>
      </c>
      <c r="P56" s="22">
        <f t="shared" si="18"/>
        <v>4.68</v>
      </c>
      <c r="Q56" s="22">
        <f t="shared" si="18"/>
        <v>4.68</v>
      </c>
      <c r="R56" s="22">
        <f t="shared" si="18"/>
        <v>11.129999999999999</v>
      </c>
      <c r="S56" s="22">
        <f>S57+S58</f>
        <v>140.4</v>
      </c>
      <c r="T56" s="22">
        <f>T57+T58</f>
        <v>140.4</v>
      </c>
      <c r="U56" s="22">
        <f>U57+U58</f>
        <v>333.9</v>
      </c>
      <c r="V56" s="22"/>
      <c r="W56" s="22"/>
      <c r="X56" s="22"/>
      <c r="Y56" s="22"/>
      <c r="AA56" s="23"/>
      <c r="AB56" s="23"/>
      <c r="AC56" s="160">
        <f aca="true" t="shared" si="19" ref="AC56:AH56">AC57+AC58</f>
        <v>780</v>
      </c>
      <c r="AD56" s="160">
        <f t="shared" si="19"/>
        <v>54756</v>
      </c>
      <c r="AE56" s="160">
        <f t="shared" si="19"/>
        <v>100</v>
      </c>
      <c r="AF56" s="160">
        <f t="shared" si="19"/>
        <v>7020</v>
      </c>
      <c r="AG56" s="160">
        <f t="shared" si="19"/>
        <v>50</v>
      </c>
      <c r="AH56" s="160">
        <f t="shared" si="19"/>
        <v>3510</v>
      </c>
    </row>
    <row r="57" spans="2:34" ht="114" customHeight="1">
      <c r="B57" s="26" t="s">
        <v>136</v>
      </c>
      <c r="C57" s="27" t="s">
        <v>137</v>
      </c>
      <c r="D57" s="27" t="s">
        <v>138</v>
      </c>
      <c r="E57" s="29">
        <v>30</v>
      </c>
      <c r="F57" s="84">
        <f>1/30</f>
        <v>0.03333333333333333</v>
      </c>
      <c r="G57" s="29" t="s">
        <v>139</v>
      </c>
      <c r="H57" s="41" t="s">
        <v>140</v>
      </c>
      <c r="I57" s="42">
        <v>30</v>
      </c>
      <c r="J57" s="42">
        <v>30</v>
      </c>
      <c r="K57" s="42">
        <v>30</v>
      </c>
      <c r="L57" s="89">
        <f>ROUND(E57/60*$H$3/147.7*F57,2)</f>
        <v>2.55</v>
      </c>
      <c r="M57" s="89">
        <v>1</v>
      </c>
      <c r="N57" s="89">
        <v>1</v>
      </c>
      <c r="O57" s="89">
        <v>1</v>
      </c>
      <c r="P57" s="89">
        <f>ROUND($L57*M57,2)</f>
        <v>2.55</v>
      </c>
      <c r="Q57" s="89">
        <f t="shared" si="6"/>
        <v>2.55</v>
      </c>
      <c r="R57" s="89">
        <f t="shared" si="6"/>
        <v>2.55</v>
      </c>
      <c r="S57" s="90">
        <f aca="true" t="shared" si="20" ref="S57:U58">P57*I57</f>
        <v>76.5</v>
      </c>
      <c r="T57" s="90">
        <f t="shared" si="20"/>
        <v>76.5</v>
      </c>
      <c r="U57" s="90">
        <f t="shared" si="20"/>
        <v>76.5</v>
      </c>
      <c r="V57" s="90"/>
      <c r="W57" s="90"/>
      <c r="X57" s="90"/>
      <c r="Y57" s="90"/>
      <c r="AA57" s="91">
        <f>V57+L57</f>
        <v>2.55</v>
      </c>
      <c r="AB57" s="91">
        <f>W57+S57</f>
        <v>76.5</v>
      </c>
      <c r="AC57" s="162">
        <v>390</v>
      </c>
      <c r="AD57" s="162">
        <f>AC57*$T57</f>
        <v>29835</v>
      </c>
      <c r="AE57" s="162">
        <v>50</v>
      </c>
      <c r="AF57" s="162">
        <f>AE57*$T57</f>
        <v>3825</v>
      </c>
      <c r="AG57" s="162">
        <v>25</v>
      </c>
      <c r="AH57" s="162">
        <f>AG57*$T57</f>
        <v>1912.5</v>
      </c>
    </row>
    <row r="58" spans="2:34" ht="92.25" customHeight="1">
      <c r="B58" s="26" t="s">
        <v>141</v>
      </c>
      <c r="C58" s="27" t="s">
        <v>142</v>
      </c>
      <c r="D58" s="27" t="s">
        <v>143</v>
      </c>
      <c r="E58" s="29">
        <v>25</v>
      </c>
      <c r="F58" s="84">
        <f>1/30</f>
        <v>0.03333333333333333</v>
      </c>
      <c r="G58" s="29" t="s">
        <v>139</v>
      </c>
      <c r="H58" s="41" t="s">
        <v>213</v>
      </c>
      <c r="I58" s="42">
        <v>30</v>
      </c>
      <c r="J58" s="42">
        <v>30</v>
      </c>
      <c r="K58" s="42">
        <v>30</v>
      </c>
      <c r="L58" s="89">
        <f>ROUND(E58/60*$H$3/147.7*F58,2)</f>
        <v>2.13</v>
      </c>
      <c r="M58" s="89">
        <v>1</v>
      </c>
      <c r="N58" s="89">
        <v>1</v>
      </c>
      <c r="O58" s="89">
        <v>2</v>
      </c>
      <c r="P58" s="89">
        <f>ROUND($L58*M58,2)</f>
        <v>2.13</v>
      </c>
      <c r="Q58" s="89">
        <f t="shared" si="6"/>
        <v>2.13</v>
      </c>
      <c r="R58" s="89">
        <f>ROUND($L58*O58*W2,2)</f>
        <v>8.58</v>
      </c>
      <c r="S58" s="90">
        <f t="shared" si="20"/>
        <v>63.9</v>
      </c>
      <c r="T58" s="90">
        <f t="shared" si="20"/>
        <v>63.9</v>
      </c>
      <c r="U58" s="92">
        <f t="shared" si="20"/>
        <v>257.4</v>
      </c>
      <c r="V58" s="93"/>
      <c r="W58" s="90"/>
      <c r="X58" s="90"/>
      <c r="Y58" s="93"/>
      <c r="Z58" s="1" t="s">
        <v>144</v>
      </c>
      <c r="AA58" s="94">
        <f>V58+L58</f>
        <v>2.13</v>
      </c>
      <c r="AB58" s="94">
        <f>W58+S58</f>
        <v>63.9</v>
      </c>
      <c r="AC58" s="162">
        <v>390</v>
      </c>
      <c r="AD58" s="162">
        <f>AC58*$T58</f>
        <v>24921</v>
      </c>
      <c r="AE58" s="162">
        <v>50</v>
      </c>
      <c r="AF58" s="162">
        <f>AE58*$T58</f>
        <v>3195</v>
      </c>
      <c r="AG58" s="162">
        <v>25</v>
      </c>
      <c r="AH58" s="162">
        <f>AG58*$T58</f>
        <v>1597.5</v>
      </c>
    </row>
    <row r="59" spans="2:34" ht="21" customHeight="1">
      <c r="B59" s="16" t="s">
        <v>145</v>
      </c>
      <c r="C59" s="17"/>
      <c r="D59" s="18"/>
      <c r="E59" s="18"/>
      <c r="F59" s="18"/>
      <c r="G59" s="18"/>
      <c r="H59" s="18"/>
      <c r="I59" s="19"/>
      <c r="J59" s="8"/>
      <c r="K59" s="8"/>
      <c r="L59" s="7"/>
      <c r="M59" s="7"/>
      <c r="N59" s="7"/>
      <c r="O59" s="7"/>
      <c r="P59" s="7"/>
      <c r="Q59" s="7"/>
      <c r="R59" s="7"/>
      <c r="S59" s="22">
        <f>S60+S63+S64</f>
        <v>595.8000000000001</v>
      </c>
      <c r="T59" s="22">
        <f>T60+T63+T64</f>
        <v>238.79999999999998</v>
      </c>
      <c r="U59" s="22">
        <f>U60+U63+U64</f>
        <v>4798.199999999999</v>
      </c>
      <c r="V59" s="22"/>
      <c r="W59" s="22"/>
      <c r="X59" s="22"/>
      <c r="Y59" s="22"/>
      <c r="AA59" s="23"/>
      <c r="AB59" s="23"/>
      <c r="AC59" s="160">
        <f aca="true" t="shared" si="21" ref="AC59:AH59">AC60+AC63+AC64</f>
        <v>188</v>
      </c>
      <c r="AD59" s="160">
        <f t="shared" si="21"/>
        <v>12747.599999999999</v>
      </c>
      <c r="AE59" s="160">
        <f t="shared" si="21"/>
        <v>97</v>
      </c>
      <c r="AF59" s="160">
        <f t="shared" si="21"/>
        <v>9239.699999999999</v>
      </c>
      <c r="AG59" s="160">
        <f t="shared" si="21"/>
        <v>75</v>
      </c>
      <c r="AH59" s="160">
        <f t="shared" si="21"/>
        <v>5970</v>
      </c>
    </row>
    <row r="60" spans="2:34" ht="92.25" customHeight="1">
      <c r="B60" s="442" t="s">
        <v>146</v>
      </c>
      <c r="C60" s="439" t="s">
        <v>147</v>
      </c>
      <c r="D60" s="9"/>
      <c r="E60" s="9">
        <f>SUM(E61:E62)</f>
        <v>60</v>
      </c>
      <c r="F60" s="9">
        <f>SUM(F61:F62)</f>
        <v>0.044444444444444446</v>
      </c>
      <c r="G60" s="9"/>
      <c r="H60" s="9"/>
      <c r="I60" s="9"/>
      <c r="J60" s="9"/>
      <c r="K60" s="9"/>
      <c r="L60" s="95">
        <f>SUM(L61:L62)</f>
        <v>3.7</v>
      </c>
      <c r="M60" s="95">
        <f>SUM(M61:M62)</f>
        <v>8</v>
      </c>
      <c r="N60" s="95">
        <f>SUM(N61:N62)</f>
        <v>1</v>
      </c>
      <c r="O60" s="95">
        <v>20</v>
      </c>
      <c r="P60" s="95">
        <f t="shared" si="6"/>
        <v>29.6</v>
      </c>
      <c r="Q60" s="95">
        <f t="shared" si="6"/>
        <v>3.7</v>
      </c>
      <c r="R60" s="95">
        <f t="shared" si="6"/>
        <v>74</v>
      </c>
      <c r="S60" s="45">
        <f>SUM(S61:S62)</f>
        <v>408</v>
      </c>
      <c r="T60" s="45">
        <f>SUM(T61:T62)</f>
        <v>51</v>
      </c>
      <c r="U60" s="45">
        <f>SUM(U61:U62)</f>
        <v>2122.5</v>
      </c>
      <c r="V60" s="96"/>
      <c r="W60" s="96">
        <f>SUM(W61:W62)</f>
        <v>0</v>
      </c>
      <c r="X60" s="96">
        <f>SUM(X61:X62)</f>
        <v>0</v>
      </c>
      <c r="Y60" s="96">
        <f>SUM(Y61:Y62)</f>
        <v>0</v>
      </c>
      <c r="AA60" s="95">
        <f>V60+L60</f>
        <v>3.7</v>
      </c>
      <c r="AB60" s="95">
        <f>W60+S60</f>
        <v>408</v>
      </c>
      <c r="AC60" s="164">
        <v>0</v>
      </c>
      <c r="AD60" s="164">
        <f>AC60*$T60</f>
        <v>0</v>
      </c>
      <c r="AE60" s="164">
        <v>0</v>
      </c>
      <c r="AF60" s="164">
        <f>AE60*$T60</f>
        <v>0</v>
      </c>
      <c r="AG60" s="164">
        <v>25</v>
      </c>
      <c r="AH60" s="164">
        <f>AG60*$T60</f>
        <v>1275</v>
      </c>
    </row>
    <row r="61" spans="2:34" ht="79.5" customHeight="1">
      <c r="B61" s="442"/>
      <c r="C61" s="440"/>
      <c r="D61" s="97" t="s">
        <v>148</v>
      </c>
      <c r="E61" s="98">
        <v>20</v>
      </c>
      <c r="F61" s="75">
        <f>1/30</f>
        <v>0.03333333333333333</v>
      </c>
      <c r="G61" s="98" t="s">
        <v>139</v>
      </c>
      <c r="H61" s="55" t="s">
        <v>149</v>
      </c>
      <c r="I61" s="55">
        <v>30</v>
      </c>
      <c r="J61" s="55">
        <v>30</v>
      </c>
      <c r="K61" s="99">
        <v>30</v>
      </c>
      <c r="L61" s="67">
        <f>ROUND(E61/60*$H$3/147.7*F61,2)</f>
        <v>1.7</v>
      </c>
      <c r="M61" s="67">
        <v>8</v>
      </c>
      <c r="N61" s="67">
        <v>1</v>
      </c>
      <c r="O61" s="67">
        <v>20</v>
      </c>
      <c r="P61" s="67">
        <f t="shared" si="6"/>
        <v>13.6</v>
      </c>
      <c r="Q61" s="67">
        <f t="shared" si="6"/>
        <v>1.7</v>
      </c>
      <c r="R61" s="67">
        <f>ROUND($L61*O61*W2,2)</f>
        <v>68.47</v>
      </c>
      <c r="S61" s="100">
        <f aca="true" t="shared" si="22" ref="S61:U64">P61*I61</f>
        <v>408</v>
      </c>
      <c r="T61" s="100">
        <f t="shared" si="22"/>
        <v>51</v>
      </c>
      <c r="U61" s="101">
        <f t="shared" si="22"/>
        <v>2054.1</v>
      </c>
      <c r="V61" s="102"/>
      <c r="W61" s="100"/>
      <c r="X61" s="100"/>
      <c r="Y61" s="102"/>
      <c r="Z61" s="1" t="s">
        <v>144</v>
      </c>
      <c r="AA61" s="103"/>
      <c r="AB61" s="103"/>
      <c r="AC61" s="165"/>
      <c r="AD61" s="165"/>
      <c r="AE61" s="165"/>
      <c r="AF61" s="165"/>
      <c r="AG61" s="165"/>
      <c r="AH61" s="165"/>
    </row>
    <row r="62" spans="2:34" ht="47.25" customHeight="1">
      <c r="B62" s="442"/>
      <c r="C62" s="441"/>
      <c r="D62" s="104" t="s">
        <v>150</v>
      </c>
      <c r="E62" s="98">
        <v>40</v>
      </c>
      <c r="F62" s="75">
        <f>1/90</f>
        <v>0.011111111111111112</v>
      </c>
      <c r="G62" s="98" t="s">
        <v>151</v>
      </c>
      <c r="H62" s="55" t="s">
        <v>152</v>
      </c>
      <c r="I62" s="75">
        <v>30</v>
      </c>
      <c r="J62" s="75">
        <v>30</v>
      </c>
      <c r="K62" s="75">
        <v>30</v>
      </c>
      <c r="L62" s="75">
        <f>ROUND(E62/60*$J$3/147.7*F62,2)</f>
        <v>2</v>
      </c>
      <c r="M62" s="75">
        <v>0</v>
      </c>
      <c r="N62" s="75">
        <v>0</v>
      </c>
      <c r="O62" s="75">
        <v>1</v>
      </c>
      <c r="P62" s="75">
        <f t="shared" si="6"/>
        <v>0</v>
      </c>
      <c r="Q62" s="75">
        <f t="shared" si="6"/>
        <v>0</v>
      </c>
      <c r="R62" s="75">
        <f>ROUND($L62*O62*W3,2)</f>
        <v>2.28</v>
      </c>
      <c r="S62" s="101">
        <f t="shared" si="22"/>
        <v>0</v>
      </c>
      <c r="T62" s="101">
        <f t="shared" si="22"/>
        <v>0</v>
      </c>
      <c r="U62" s="101">
        <f t="shared" si="22"/>
        <v>68.39999999999999</v>
      </c>
      <c r="V62" s="105"/>
      <c r="W62" s="101"/>
      <c r="X62" s="101"/>
      <c r="Y62" s="105"/>
      <c r="Z62" s="1" t="s">
        <v>144</v>
      </c>
      <c r="AA62" s="106"/>
      <c r="AB62" s="106"/>
      <c r="AC62" s="166"/>
      <c r="AD62" s="166"/>
      <c r="AE62" s="166"/>
      <c r="AF62" s="166"/>
      <c r="AG62" s="166"/>
      <c r="AH62" s="166"/>
    </row>
    <row r="63" spans="2:34" ht="68.25" customHeight="1">
      <c r="B63" s="51" t="s">
        <v>153</v>
      </c>
      <c r="C63" s="26" t="s">
        <v>154</v>
      </c>
      <c r="D63" s="26" t="s">
        <v>155</v>
      </c>
      <c r="E63" s="107">
        <v>55</v>
      </c>
      <c r="F63" s="108">
        <f>1/30</f>
        <v>0.03333333333333333</v>
      </c>
      <c r="G63" s="107" t="s">
        <v>156</v>
      </c>
      <c r="H63" s="41" t="s">
        <v>157</v>
      </c>
      <c r="I63" s="41">
        <v>30</v>
      </c>
      <c r="J63" s="41">
        <v>30</v>
      </c>
      <c r="K63" s="41">
        <v>30</v>
      </c>
      <c r="L63" s="109">
        <f>ROUND(E63/60*$H$2/147.7*F63,2)</f>
        <v>4.59</v>
      </c>
      <c r="M63" s="109">
        <v>1</v>
      </c>
      <c r="N63" s="109">
        <v>1</v>
      </c>
      <c r="O63" s="109">
        <v>8</v>
      </c>
      <c r="P63" s="109">
        <f>ROUND($L63*M63,2)</f>
        <v>4.59</v>
      </c>
      <c r="Q63" s="109">
        <f t="shared" si="6"/>
        <v>4.59</v>
      </c>
      <c r="R63" s="109">
        <f>ROUND($L63*O63*W4,2)</f>
        <v>75.46</v>
      </c>
      <c r="S63" s="92">
        <f t="shared" si="22"/>
        <v>137.7</v>
      </c>
      <c r="T63" s="92">
        <f t="shared" si="22"/>
        <v>137.7</v>
      </c>
      <c r="U63" s="110">
        <f t="shared" si="22"/>
        <v>2263.7999999999997</v>
      </c>
      <c r="V63" s="111">
        <v>0.9</v>
      </c>
      <c r="W63" s="92">
        <f>V63*30</f>
        <v>27</v>
      </c>
      <c r="X63" s="92">
        <f>V63*30</f>
        <v>27</v>
      </c>
      <c r="Y63" s="111">
        <f>V63*30</f>
        <v>27</v>
      </c>
      <c r="Z63" s="1" t="s">
        <v>144</v>
      </c>
      <c r="AA63" s="95">
        <f>V63+L63</f>
        <v>5.49</v>
      </c>
      <c r="AB63" s="95">
        <f>W63+S63</f>
        <v>164.7</v>
      </c>
      <c r="AC63" s="163">
        <v>38</v>
      </c>
      <c r="AD63" s="163">
        <f>AC63*$T63</f>
        <v>5232.599999999999</v>
      </c>
      <c r="AE63" s="163">
        <v>50</v>
      </c>
      <c r="AF63" s="163">
        <f>AE63*$T63</f>
        <v>6884.999999999999</v>
      </c>
      <c r="AG63" s="163">
        <v>25</v>
      </c>
      <c r="AH63" s="163">
        <f>AG63*$T63</f>
        <v>3442.4999999999995</v>
      </c>
    </row>
    <row r="64" spans="2:34" ht="112.5" customHeight="1">
      <c r="B64" s="112" t="s">
        <v>158</v>
      </c>
      <c r="C64" s="113" t="s">
        <v>159</v>
      </c>
      <c r="D64" s="114" t="s">
        <v>160</v>
      </c>
      <c r="E64" s="115">
        <v>20</v>
      </c>
      <c r="F64" s="116">
        <f>1/30</f>
        <v>0.03333333333333333</v>
      </c>
      <c r="G64" s="115" t="s">
        <v>156</v>
      </c>
      <c r="H64" s="41" t="s">
        <v>157</v>
      </c>
      <c r="I64" s="41">
        <v>30</v>
      </c>
      <c r="J64" s="41">
        <v>30</v>
      </c>
      <c r="K64" s="41">
        <v>30</v>
      </c>
      <c r="L64" s="109">
        <f>ROUND(E64/60*$H$2/147.7*F64,2)</f>
        <v>1.67</v>
      </c>
      <c r="M64" s="109">
        <v>1</v>
      </c>
      <c r="N64" s="109">
        <v>1</v>
      </c>
      <c r="O64" s="109">
        <v>4</v>
      </c>
      <c r="P64" s="109">
        <f t="shared" si="6"/>
        <v>1.67</v>
      </c>
      <c r="Q64" s="109">
        <f t="shared" si="6"/>
        <v>1.67</v>
      </c>
      <c r="R64" s="109">
        <f>ROUND($L64*O64*W4,2)</f>
        <v>13.73</v>
      </c>
      <c r="S64" s="92">
        <f t="shared" si="22"/>
        <v>50.099999999999994</v>
      </c>
      <c r="T64" s="92">
        <f t="shared" si="22"/>
        <v>50.099999999999994</v>
      </c>
      <c r="U64" s="110">
        <f t="shared" si="22"/>
        <v>411.90000000000003</v>
      </c>
      <c r="V64" s="111">
        <v>2.25</v>
      </c>
      <c r="W64" s="92">
        <f>V64*30</f>
        <v>67.5</v>
      </c>
      <c r="X64" s="92">
        <f>V64*30</f>
        <v>67.5</v>
      </c>
      <c r="Y64" s="111">
        <f>V64*30</f>
        <v>67.5</v>
      </c>
      <c r="Z64" s="1" t="s">
        <v>144</v>
      </c>
      <c r="AA64" s="95">
        <f>V64+L64</f>
        <v>3.92</v>
      </c>
      <c r="AB64" s="95">
        <f>W64+S64</f>
        <v>117.6</v>
      </c>
      <c r="AC64" s="163">
        <v>150</v>
      </c>
      <c r="AD64" s="163">
        <f>AC64*$T64</f>
        <v>7514.999999999999</v>
      </c>
      <c r="AE64" s="163">
        <v>47</v>
      </c>
      <c r="AF64" s="163">
        <f>AE64*$T64</f>
        <v>2354.7</v>
      </c>
      <c r="AG64" s="163">
        <v>25</v>
      </c>
      <c r="AH64" s="163">
        <f>AG64*$T64</f>
        <v>1252.4999999999998</v>
      </c>
    </row>
    <row r="65" spans="2:34" ht="21" customHeight="1">
      <c r="B65" s="16" t="s">
        <v>161</v>
      </c>
      <c r="C65" s="17"/>
      <c r="D65" s="18"/>
      <c r="E65" s="18"/>
      <c r="F65" s="18"/>
      <c r="G65" s="18"/>
      <c r="H65" s="18"/>
      <c r="I65" s="19"/>
      <c r="J65" s="8"/>
      <c r="K65" s="8"/>
      <c r="L65" s="7"/>
      <c r="M65" s="7"/>
      <c r="N65" s="7"/>
      <c r="O65" s="7"/>
      <c r="P65" s="7"/>
      <c r="Q65" s="7"/>
      <c r="R65" s="7"/>
      <c r="S65" s="22">
        <f>S66+S67+S68</f>
        <v>720</v>
      </c>
      <c r="T65" s="22">
        <f>T66+T67+T68</f>
        <v>193.5</v>
      </c>
      <c r="U65" s="22">
        <f>U66+U67+U68</f>
        <v>14912.1</v>
      </c>
      <c r="V65" s="22"/>
      <c r="W65" s="22">
        <f>W66+W67+W68</f>
        <v>0</v>
      </c>
      <c r="X65" s="22">
        <f>X66+X67+X68</f>
        <v>0</v>
      </c>
      <c r="Y65" s="22">
        <f>Y66+Y67+Y68</f>
        <v>425</v>
      </c>
      <c r="AA65" s="23"/>
      <c r="AB65" s="23"/>
      <c r="AC65" s="160">
        <f aca="true" t="shared" si="23" ref="AC65:AH65">AC66+AC67+AC68</f>
        <v>33</v>
      </c>
      <c r="AD65" s="160">
        <f t="shared" si="23"/>
        <v>5250</v>
      </c>
      <c r="AE65" s="160">
        <f t="shared" si="23"/>
        <v>34</v>
      </c>
      <c r="AF65" s="160">
        <f t="shared" si="23"/>
        <v>6120</v>
      </c>
      <c r="AG65" s="160">
        <f t="shared" si="23"/>
        <v>25</v>
      </c>
      <c r="AH65" s="160">
        <f t="shared" si="23"/>
        <v>4500</v>
      </c>
    </row>
    <row r="66" spans="2:34" ht="123" customHeight="1">
      <c r="B66" s="117" t="s">
        <v>162</v>
      </c>
      <c r="C66" s="118" t="s">
        <v>163</v>
      </c>
      <c r="D66" s="26" t="s">
        <v>164</v>
      </c>
      <c r="E66" s="115">
        <v>20</v>
      </c>
      <c r="F66" s="116">
        <f>2/30</f>
        <v>0.06666666666666667</v>
      </c>
      <c r="G66" s="41" t="s">
        <v>151</v>
      </c>
      <c r="H66" s="26" t="s">
        <v>165</v>
      </c>
      <c r="I66" s="119">
        <v>30</v>
      </c>
      <c r="J66" s="119">
        <v>30</v>
      </c>
      <c r="K66" s="119">
        <v>30</v>
      </c>
      <c r="L66" s="109">
        <f>ROUND(E66/60*$J$3/147.7*F66,2)</f>
        <v>6</v>
      </c>
      <c r="M66" s="109">
        <v>4</v>
      </c>
      <c r="N66" s="109">
        <v>1</v>
      </c>
      <c r="O66" s="109">
        <v>5</v>
      </c>
      <c r="P66" s="109">
        <f t="shared" si="6"/>
        <v>24</v>
      </c>
      <c r="Q66" s="109">
        <f t="shared" si="6"/>
        <v>6</v>
      </c>
      <c r="R66" s="109">
        <f>ROUND($L66*O66*W3,2)</f>
        <v>34.27</v>
      </c>
      <c r="S66" s="92">
        <f aca="true" t="shared" si="24" ref="S66:U67">P66*I66</f>
        <v>720</v>
      </c>
      <c r="T66" s="92">
        <f t="shared" si="24"/>
        <v>180</v>
      </c>
      <c r="U66" s="110">
        <f t="shared" si="24"/>
        <v>1028.1000000000001</v>
      </c>
      <c r="V66" s="111"/>
      <c r="W66" s="92"/>
      <c r="X66" s="92"/>
      <c r="Y66" s="111"/>
      <c r="Z66" s="1" t="s">
        <v>144</v>
      </c>
      <c r="AA66" s="120">
        <f>V66+L66</f>
        <v>6</v>
      </c>
      <c r="AB66" s="120">
        <f>W66+S66</f>
        <v>720</v>
      </c>
      <c r="AC66" s="163">
        <v>29</v>
      </c>
      <c r="AD66" s="163">
        <f>AC66*$T66</f>
        <v>5220</v>
      </c>
      <c r="AE66" s="163">
        <v>34</v>
      </c>
      <c r="AF66" s="163">
        <f>AE66*$T66</f>
        <v>6120</v>
      </c>
      <c r="AG66" s="163">
        <v>25</v>
      </c>
      <c r="AH66" s="163">
        <f>AG66*$T66</f>
        <v>4500</v>
      </c>
    </row>
    <row r="67" spans="2:34" ht="136.5" customHeight="1">
      <c r="B67" s="26" t="s">
        <v>166</v>
      </c>
      <c r="C67" s="121" t="s">
        <v>167</v>
      </c>
      <c r="D67" s="27" t="s">
        <v>168</v>
      </c>
      <c r="E67" s="88">
        <v>25</v>
      </c>
      <c r="F67" s="122">
        <f>1/365</f>
        <v>0.0027397260273972603</v>
      </c>
      <c r="G67" s="88" t="s">
        <v>90</v>
      </c>
      <c r="H67" s="26" t="s">
        <v>91</v>
      </c>
      <c r="I67" s="45">
        <v>30</v>
      </c>
      <c r="J67" s="45">
        <v>30</v>
      </c>
      <c r="K67" s="45">
        <v>30</v>
      </c>
      <c r="L67" s="109">
        <f>ROUND(E67/60*$H$1/147.7*F67,2)</f>
        <v>0.25</v>
      </c>
      <c r="M67" s="109">
        <v>0</v>
      </c>
      <c r="N67" s="109">
        <v>1</v>
      </c>
      <c r="O67" s="109">
        <v>0</v>
      </c>
      <c r="P67" s="109">
        <f t="shared" si="6"/>
        <v>0</v>
      </c>
      <c r="Q67" s="109">
        <f t="shared" si="6"/>
        <v>0.25</v>
      </c>
      <c r="R67" s="109">
        <f t="shared" si="6"/>
        <v>0</v>
      </c>
      <c r="S67" s="92">
        <f t="shared" si="24"/>
        <v>0</v>
      </c>
      <c r="T67" s="92">
        <f t="shared" si="24"/>
        <v>7.5</v>
      </c>
      <c r="U67" s="92">
        <f t="shared" si="24"/>
        <v>0</v>
      </c>
      <c r="V67" s="92"/>
      <c r="W67" s="92"/>
      <c r="X67" s="92"/>
      <c r="Y67" s="92"/>
      <c r="AA67" s="123">
        <f>V67+L67</f>
        <v>0.25</v>
      </c>
      <c r="AB67" s="123">
        <f>W67+S67</f>
        <v>0</v>
      </c>
      <c r="AC67" s="163">
        <v>4</v>
      </c>
      <c r="AD67" s="163">
        <f>AC67*$T67</f>
        <v>30</v>
      </c>
      <c r="AE67" s="163">
        <v>0</v>
      </c>
      <c r="AF67" s="163">
        <f>AE67*$T67</f>
        <v>0</v>
      </c>
      <c r="AG67" s="163">
        <v>0</v>
      </c>
      <c r="AH67" s="163">
        <f>AG67*$T67</f>
        <v>0</v>
      </c>
    </row>
    <row r="68" spans="2:34" ht="70.5" customHeight="1">
      <c r="B68" s="438" t="s">
        <v>169</v>
      </c>
      <c r="C68" s="439" t="s">
        <v>170</v>
      </c>
      <c r="D68" s="124" t="s">
        <v>171</v>
      </c>
      <c r="E68" s="125">
        <v>60</v>
      </c>
      <c r="F68" s="125">
        <v>60</v>
      </c>
      <c r="G68" s="125"/>
      <c r="H68" s="126"/>
      <c r="I68" s="126"/>
      <c r="J68" s="42"/>
      <c r="K68" s="42"/>
      <c r="L68" s="127">
        <f>SUM(L69:L70)</f>
        <v>405.39</v>
      </c>
      <c r="M68" s="127">
        <f aca="true" t="shared" si="25" ref="M68:Y68">SUM(M69:M70)</f>
        <v>0</v>
      </c>
      <c r="N68" s="127">
        <f t="shared" si="25"/>
        <v>1</v>
      </c>
      <c r="O68" s="127">
        <f t="shared" si="25"/>
        <v>1</v>
      </c>
      <c r="P68" s="127">
        <f t="shared" si="25"/>
        <v>0</v>
      </c>
      <c r="Q68" s="127">
        <f t="shared" si="25"/>
        <v>0.2</v>
      </c>
      <c r="R68" s="127">
        <f t="shared" si="25"/>
        <v>462.8</v>
      </c>
      <c r="S68" s="128">
        <f t="shared" si="25"/>
        <v>0</v>
      </c>
      <c r="T68" s="128">
        <f t="shared" si="25"/>
        <v>6</v>
      </c>
      <c r="U68" s="128">
        <f t="shared" si="25"/>
        <v>13884</v>
      </c>
      <c r="V68" s="21">
        <f t="shared" si="25"/>
        <v>425</v>
      </c>
      <c r="W68" s="21">
        <f t="shared" si="25"/>
        <v>0</v>
      </c>
      <c r="X68" s="21">
        <f t="shared" si="25"/>
        <v>0</v>
      </c>
      <c r="Y68" s="21">
        <f t="shared" si="25"/>
        <v>425</v>
      </c>
      <c r="AA68" s="129">
        <f>V68+L68</f>
        <v>830.39</v>
      </c>
      <c r="AB68" s="129">
        <f>W68+S68</f>
        <v>0</v>
      </c>
      <c r="AC68" s="167">
        <v>0</v>
      </c>
      <c r="AD68" s="167">
        <f>AC68*$T68</f>
        <v>0</v>
      </c>
      <c r="AE68" s="167">
        <v>0</v>
      </c>
      <c r="AF68" s="167">
        <f>AE68*$T68</f>
        <v>0</v>
      </c>
      <c r="AG68" s="167">
        <v>0</v>
      </c>
      <c r="AH68" s="167">
        <f>AG68*$T68</f>
        <v>0</v>
      </c>
    </row>
    <row r="69" spans="2:34" ht="90.75" customHeight="1">
      <c r="B69" s="427"/>
      <c r="C69" s="440"/>
      <c r="D69" s="130" t="s">
        <v>172</v>
      </c>
      <c r="E69" s="131">
        <v>20</v>
      </c>
      <c r="F69" s="132">
        <f>1/365</f>
        <v>0.0027397260273972603</v>
      </c>
      <c r="G69" s="131" t="s">
        <v>90</v>
      </c>
      <c r="H69" s="54" t="s">
        <v>91</v>
      </c>
      <c r="I69" s="75">
        <v>30</v>
      </c>
      <c r="J69" s="75">
        <v>30</v>
      </c>
      <c r="K69" s="75">
        <v>30</v>
      </c>
      <c r="L69" s="75">
        <f>ROUND(E69/60*$H$1/147.7*F69,2)</f>
        <v>0.2</v>
      </c>
      <c r="M69" s="75">
        <v>0</v>
      </c>
      <c r="N69" s="75">
        <v>1</v>
      </c>
      <c r="O69" s="75">
        <v>0</v>
      </c>
      <c r="P69" s="133">
        <f t="shared" si="6"/>
        <v>0</v>
      </c>
      <c r="Q69" s="133">
        <f t="shared" si="6"/>
        <v>0.2</v>
      </c>
      <c r="R69" s="133">
        <f t="shared" si="6"/>
        <v>0</v>
      </c>
      <c r="S69" s="101">
        <f aca="true" t="shared" si="26" ref="S69:U70">P69*I69</f>
        <v>0</v>
      </c>
      <c r="T69" s="101">
        <f t="shared" si="26"/>
        <v>6</v>
      </c>
      <c r="U69" s="101">
        <f t="shared" si="26"/>
        <v>0</v>
      </c>
      <c r="V69" s="101"/>
      <c r="W69" s="101"/>
      <c r="X69" s="101"/>
      <c r="Y69" s="101"/>
      <c r="AA69" s="123"/>
      <c r="AB69" s="123"/>
      <c r="AC69" s="166">
        <f aca="true" t="shared" si="27" ref="AC69:AF70">Z69*S69</f>
        <v>0</v>
      </c>
      <c r="AD69" s="166">
        <f t="shared" si="27"/>
        <v>0</v>
      </c>
      <c r="AE69" s="166">
        <f t="shared" si="27"/>
        <v>0</v>
      </c>
      <c r="AF69" s="166">
        <f t="shared" si="27"/>
        <v>0</v>
      </c>
      <c r="AG69" s="166">
        <f>AE69*X69</f>
        <v>0</v>
      </c>
      <c r="AH69" s="166">
        <f>AF69*Y69</f>
        <v>0</v>
      </c>
    </row>
    <row r="70" spans="2:34" ht="86.25" customHeight="1">
      <c r="B70" s="428"/>
      <c r="C70" s="441"/>
      <c r="D70" s="134" t="s">
        <v>173</v>
      </c>
      <c r="E70" s="131">
        <v>45</v>
      </c>
      <c r="F70" s="131">
        <f>60/30</f>
        <v>2</v>
      </c>
      <c r="G70" s="131" t="s">
        <v>151</v>
      </c>
      <c r="H70" s="135" t="s">
        <v>174</v>
      </c>
      <c r="I70" s="55">
        <v>30</v>
      </c>
      <c r="J70" s="56">
        <v>30</v>
      </c>
      <c r="K70" s="56">
        <v>30</v>
      </c>
      <c r="L70" s="67">
        <f>ROUND(E70/60*$J$3/147.7*F70,2)</f>
        <v>405.19</v>
      </c>
      <c r="M70" s="67">
        <v>0</v>
      </c>
      <c r="N70" s="67">
        <v>0</v>
      </c>
      <c r="O70" s="67">
        <v>1</v>
      </c>
      <c r="P70" s="67">
        <f t="shared" si="6"/>
        <v>0</v>
      </c>
      <c r="Q70" s="67">
        <f>ROUND($L70*N70,2)</f>
        <v>0</v>
      </c>
      <c r="R70" s="67">
        <f>ROUND($L70*O70*W3,2)</f>
        <v>462.8</v>
      </c>
      <c r="S70" s="101">
        <f t="shared" si="26"/>
        <v>0</v>
      </c>
      <c r="T70" s="101">
        <f t="shared" si="26"/>
        <v>0</v>
      </c>
      <c r="U70" s="101">
        <f t="shared" si="26"/>
        <v>13884</v>
      </c>
      <c r="V70" s="101">
        <v>425</v>
      </c>
      <c r="W70" s="101"/>
      <c r="X70" s="101"/>
      <c r="Y70" s="101">
        <v>425</v>
      </c>
      <c r="AA70" s="123"/>
      <c r="AB70" s="123"/>
      <c r="AC70" s="166">
        <f t="shared" si="27"/>
        <v>0</v>
      </c>
      <c r="AD70" s="166">
        <f t="shared" si="27"/>
        <v>0</v>
      </c>
      <c r="AE70" s="166">
        <f t="shared" si="27"/>
        <v>0</v>
      </c>
      <c r="AF70" s="166">
        <f t="shared" si="27"/>
        <v>0</v>
      </c>
      <c r="AG70" s="166">
        <f>AE70*X70</f>
        <v>0</v>
      </c>
      <c r="AH70" s="166">
        <f>AF70*Y70</f>
        <v>0</v>
      </c>
    </row>
    <row r="71" spans="2:34" ht="21" customHeight="1">
      <c r="B71" s="16" t="s">
        <v>175</v>
      </c>
      <c r="C71" s="17"/>
      <c r="D71" s="18"/>
      <c r="E71" s="18"/>
      <c r="F71" s="18"/>
      <c r="G71" s="18"/>
      <c r="H71" s="18"/>
      <c r="I71" s="19"/>
      <c r="J71" s="8"/>
      <c r="K71" s="8"/>
      <c r="L71" s="7"/>
      <c r="M71" s="7"/>
      <c r="N71" s="7"/>
      <c r="O71" s="7"/>
      <c r="P71" s="7">
        <f t="shared" si="6"/>
        <v>0</v>
      </c>
      <c r="Q71" s="7">
        <f t="shared" si="6"/>
        <v>0</v>
      </c>
      <c r="R71" s="7">
        <f t="shared" si="6"/>
        <v>0</v>
      </c>
      <c r="S71" s="22">
        <f>S72+S73+S74</f>
        <v>55.2</v>
      </c>
      <c r="T71" s="22">
        <f>T72+T73+T74</f>
        <v>55.2</v>
      </c>
      <c r="U71" s="22">
        <f>U72+U73+U74</f>
        <v>42.9</v>
      </c>
      <c r="V71" s="22"/>
      <c r="W71" s="22">
        <f>W72+W73+W74</f>
        <v>0</v>
      </c>
      <c r="X71" s="22">
        <f>X72+X73+X74</f>
        <v>0</v>
      </c>
      <c r="Y71" s="22">
        <f>Y72+Y73+Y74</f>
        <v>0</v>
      </c>
      <c r="AA71" s="23"/>
      <c r="AB71" s="23"/>
      <c r="AC71" s="160">
        <f aca="true" t="shared" si="28" ref="AC71:AH71">AC72+AC73+AC74</f>
        <v>494</v>
      </c>
      <c r="AD71" s="160">
        <f t="shared" si="28"/>
        <v>8502.300000000001</v>
      </c>
      <c r="AE71" s="160">
        <f t="shared" si="28"/>
        <v>150</v>
      </c>
      <c r="AF71" s="160">
        <f t="shared" si="28"/>
        <v>2760</v>
      </c>
      <c r="AG71" s="160">
        <f t="shared" si="28"/>
        <v>25</v>
      </c>
      <c r="AH71" s="160">
        <f t="shared" si="28"/>
        <v>457.5</v>
      </c>
    </row>
    <row r="72" spans="2:34" ht="129.75" customHeight="1">
      <c r="B72" s="31" t="s">
        <v>176</v>
      </c>
      <c r="C72" s="28" t="s">
        <v>177</v>
      </c>
      <c r="D72" s="136" t="s">
        <v>178</v>
      </c>
      <c r="E72" s="31">
        <v>15</v>
      </c>
      <c r="F72" s="137">
        <f>1/90</f>
        <v>0.011111111111111112</v>
      </c>
      <c r="G72" s="31" t="s">
        <v>90</v>
      </c>
      <c r="H72" s="31" t="s">
        <v>91</v>
      </c>
      <c r="I72" s="61">
        <v>30</v>
      </c>
      <c r="J72" s="61">
        <v>30</v>
      </c>
      <c r="K72" s="61">
        <v>30</v>
      </c>
      <c r="L72" s="138">
        <f>ROUND(E72/60*$H$1/147.7*F72,2)</f>
        <v>0.61</v>
      </c>
      <c r="M72" s="138">
        <v>1</v>
      </c>
      <c r="N72" s="138">
        <v>1</v>
      </c>
      <c r="O72" s="138">
        <v>1</v>
      </c>
      <c r="P72" s="138">
        <f t="shared" si="6"/>
        <v>0.61</v>
      </c>
      <c r="Q72" s="138">
        <f t="shared" si="6"/>
        <v>0.61</v>
      </c>
      <c r="R72" s="138">
        <f t="shared" si="6"/>
        <v>0.61</v>
      </c>
      <c r="S72" s="31">
        <f aca="true" t="shared" si="29" ref="S72:U74">P72*I72</f>
        <v>18.3</v>
      </c>
      <c r="T72" s="31">
        <f t="shared" si="29"/>
        <v>18.3</v>
      </c>
      <c r="U72" s="31">
        <f t="shared" si="29"/>
        <v>18.3</v>
      </c>
      <c r="V72" s="31"/>
      <c r="W72" s="31"/>
      <c r="X72" s="31"/>
      <c r="Y72" s="31"/>
      <c r="AA72" s="138">
        <f>V72+L72</f>
        <v>0.61</v>
      </c>
      <c r="AB72" s="138">
        <f>W72+S72</f>
        <v>18.3</v>
      </c>
      <c r="AC72" s="168">
        <v>390</v>
      </c>
      <c r="AD72" s="168">
        <f>AC72*$T72</f>
        <v>7137</v>
      </c>
      <c r="AE72" s="168">
        <v>50</v>
      </c>
      <c r="AF72" s="168">
        <f>AE72*$T72</f>
        <v>915</v>
      </c>
      <c r="AG72" s="168">
        <v>25</v>
      </c>
      <c r="AH72" s="168">
        <f aca="true" t="shared" si="30" ref="AH72:AH79">AG72*$T72</f>
        <v>457.5</v>
      </c>
    </row>
    <row r="73" spans="2:34" ht="93.75" customHeight="1">
      <c r="B73" s="118" t="s">
        <v>179</v>
      </c>
      <c r="C73" s="27" t="s">
        <v>180</v>
      </c>
      <c r="D73" s="27" t="s">
        <v>181</v>
      </c>
      <c r="E73" s="31">
        <v>20</v>
      </c>
      <c r="F73" s="137">
        <f>1/180</f>
        <v>0.005555555555555556</v>
      </c>
      <c r="G73" s="31" t="s">
        <v>90</v>
      </c>
      <c r="H73" s="31" t="s">
        <v>182</v>
      </c>
      <c r="I73" s="61">
        <v>30</v>
      </c>
      <c r="J73" s="61">
        <v>30</v>
      </c>
      <c r="K73" s="61">
        <v>30</v>
      </c>
      <c r="L73" s="138">
        <f>ROUND(E73/60*$H$1/147.7*F73,2)</f>
        <v>0.41</v>
      </c>
      <c r="M73" s="177">
        <v>1</v>
      </c>
      <c r="N73" s="138">
        <v>1</v>
      </c>
      <c r="O73" s="138">
        <v>0</v>
      </c>
      <c r="P73" s="138">
        <f t="shared" si="6"/>
        <v>0.41</v>
      </c>
      <c r="Q73" s="138">
        <f t="shared" si="6"/>
        <v>0.41</v>
      </c>
      <c r="R73" s="138">
        <f t="shared" si="6"/>
        <v>0</v>
      </c>
      <c r="S73" s="32">
        <f t="shared" si="29"/>
        <v>12.299999999999999</v>
      </c>
      <c r="T73" s="32">
        <f t="shared" si="29"/>
        <v>12.299999999999999</v>
      </c>
      <c r="U73" s="32">
        <f t="shared" si="29"/>
        <v>0</v>
      </c>
      <c r="V73" s="32"/>
      <c r="W73" s="32"/>
      <c r="X73" s="32"/>
      <c r="Y73" s="32"/>
      <c r="AA73" s="139">
        <f>V73+L73</f>
        <v>0.41</v>
      </c>
      <c r="AB73" s="139">
        <f>W73+S73</f>
        <v>12.299999999999999</v>
      </c>
      <c r="AC73" s="169">
        <v>97</v>
      </c>
      <c r="AD73" s="169">
        <f>AC73*$T73</f>
        <v>1193.1</v>
      </c>
      <c r="AE73" s="169">
        <v>50</v>
      </c>
      <c r="AF73" s="169">
        <f>AE73*$T73</f>
        <v>615</v>
      </c>
      <c r="AG73" s="169">
        <v>0</v>
      </c>
      <c r="AH73" s="169">
        <f t="shared" si="30"/>
        <v>0</v>
      </c>
    </row>
    <row r="74" spans="2:34" ht="125.25" customHeight="1">
      <c r="B74" s="118" t="s">
        <v>183</v>
      </c>
      <c r="C74" s="28" t="s">
        <v>184</v>
      </c>
      <c r="D74" s="140" t="s">
        <v>185</v>
      </c>
      <c r="E74" s="31">
        <v>20</v>
      </c>
      <c r="F74" s="137">
        <f>1/90</f>
        <v>0.011111111111111112</v>
      </c>
      <c r="G74" s="31" t="s">
        <v>90</v>
      </c>
      <c r="H74" s="31" t="s">
        <v>186</v>
      </c>
      <c r="I74" s="141">
        <v>30</v>
      </c>
      <c r="J74" s="141">
        <v>30</v>
      </c>
      <c r="K74" s="141">
        <v>30</v>
      </c>
      <c r="L74" s="142">
        <f>ROUND(E74/60*$H$1/147.7*F74,2)</f>
        <v>0.82</v>
      </c>
      <c r="M74" s="142">
        <v>1</v>
      </c>
      <c r="N74" s="142">
        <v>1</v>
      </c>
      <c r="O74" s="142">
        <v>1</v>
      </c>
      <c r="P74" s="142">
        <f t="shared" si="6"/>
        <v>0.82</v>
      </c>
      <c r="Q74" s="142">
        <f t="shared" si="6"/>
        <v>0.82</v>
      </c>
      <c r="R74" s="142">
        <f t="shared" si="6"/>
        <v>0.82</v>
      </c>
      <c r="S74" s="141">
        <f t="shared" si="29"/>
        <v>24.599999999999998</v>
      </c>
      <c r="T74" s="141">
        <f t="shared" si="29"/>
        <v>24.599999999999998</v>
      </c>
      <c r="U74" s="141">
        <f t="shared" si="29"/>
        <v>24.599999999999998</v>
      </c>
      <c r="V74" s="141"/>
      <c r="W74" s="141"/>
      <c r="X74" s="141"/>
      <c r="Y74" s="141"/>
      <c r="AA74" s="109">
        <f>V74+L74</f>
        <v>0.82</v>
      </c>
      <c r="AB74" s="109">
        <f>W74+S74</f>
        <v>24.599999999999998</v>
      </c>
      <c r="AC74" s="170">
        <v>7</v>
      </c>
      <c r="AD74" s="170">
        <f>AC74*$T74</f>
        <v>172.2</v>
      </c>
      <c r="AE74" s="170">
        <v>50</v>
      </c>
      <c r="AF74" s="170">
        <f>AE74*$T74</f>
        <v>1230</v>
      </c>
      <c r="AG74" s="170">
        <v>0</v>
      </c>
      <c r="AH74" s="170">
        <f t="shared" si="30"/>
        <v>0</v>
      </c>
    </row>
    <row r="75" spans="2:34" ht="21" customHeight="1">
      <c r="B75" s="16" t="s">
        <v>187</v>
      </c>
      <c r="C75" s="17"/>
      <c r="D75" s="18"/>
      <c r="E75" s="18"/>
      <c r="F75" s="18"/>
      <c r="G75" s="18"/>
      <c r="H75" s="18"/>
      <c r="I75" s="62"/>
      <c r="J75" s="8"/>
      <c r="K75" s="8"/>
      <c r="L75" s="7"/>
      <c r="M75" s="7"/>
      <c r="N75" s="7"/>
      <c r="O75" s="7"/>
      <c r="P75" s="7">
        <f t="shared" si="6"/>
        <v>0</v>
      </c>
      <c r="Q75" s="7">
        <f t="shared" si="6"/>
        <v>0</v>
      </c>
      <c r="R75" s="7">
        <f t="shared" si="6"/>
        <v>0</v>
      </c>
      <c r="S75" s="22">
        <f>S76+S77+S78+S79</f>
        <v>1659.3000000000002</v>
      </c>
      <c r="T75" s="22">
        <f>T76+T77+T78+T79</f>
        <v>354</v>
      </c>
      <c r="U75" s="22">
        <f>U76+U77+U78+U79</f>
        <v>2406</v>
      </c>
      <c r="V75" s="22"/>
      <c r="W75" s="22"/>
      <c r="X75" s="22"/>
      <c r="Y75" s="22"/>
      <c r="AA75" s="23"/>
      <c r="AB75" s="23"/>
      <c r="AC75" s="160">
        <f aca="true" t="shared" si="31" ref="AC75:AH75">AC76+AC77+AC78+AC79</f>
        <v>706</v>
      </c>
      <c r="AD75" s="160">
        <f t="shared" si="31"/>
        <v>78618.6</v>
      </c>
      <c r="AE75" s="160">
        <f t="shared" si="31"/>
        <v>154</v>
      </c>
      <c r="AF75" s="160">
        <f t="shared" si="31"/>
        <v>14916.6</v>
      </c>
      <c r="AG75" s="160">
        <f t="shared" si="31"/>
        <v>87</v>
      </c>
      <c r="AH75" s="160">
        <f t="shared" si="31"/>
        <v>7785.3</v>
      </c>
    </row>
    <row r="76" spans="2:34" ht="129.75" customHeight="1">
      <c r="B76" s="37" t="s">
        <v>188</v>
      </c>
      <c r="C76" s="37" t="s">
        <v>189</v>
      </c>
      <c r="D76" s="143" t="s">
        <v>190</v>
      </c>
      <c r="E76" s="31">
        <v>20</v>
      </c>
      <c r="F76" s="137">
        <f>1/90</f>
        <v>0.011111111111111112</v>
      </c>
      <c r="G76" s="31" t="s">
        <v>96</v>
      </c>
      <c r="H76" s="37" t="s">
        <v>191</v>
      </c>
      <c r="I76" s="41">
        <v>30</v>
      </c>
      <c r="J76" s="41">
        <v>30</v>
      </c>
      <c r="K76" s="41">
        <v>30</v>
      </c>
      <c r="L76" s="64">
        <f>ROUND(E76/60*$L$2/147.7*F76,2)</f>
        <v>1.09</v>
      </c>
      <c r="M76" s="64">
        <v>1</v>
      </c>
      <c r="N76" s="64">
        <v>1</v>
      </c>
      <c r="O76" s="64">
        <v>1</v>
      </c>
      <c r="P76" s="64">
        <f t="shared" si="6"/>
        <v>1.09</v>
      </c>
      <c r="Q76" s="64">
        <f t="shared" si="6"/>
        <v>1.09</v>
      </c>
      <c r="R76" s="64">
        <f>ROUND($L76*O76,2)</f>
        <v>1.09</v>
      </c>
      <c r="S76" s="141">
        <f aca="true" t="shared" si="32" ref="S76:U79">P76*I76</f>
        <v>32.7</v>
      </c>
      <c r="T76" s="141">
        <f t="shared" si="32"/>
        <v>32.7</v>
      </c>
      <c r="U76" s="141">
        <f t="shared" si="32"/>
        <v>32.7</v>
      </c>
      <c r="V76" s="141"/>
      <c r="W76" s="141"/>
      <c r="X76" s="141"/>
      <c r="Y76" s="141"/>
      <c r="AA76" s="109">
        <f>V76+L76</f>
        <v>1.09</v>
      </c>
      <c r="AB76" s="109">
        <f>W76+S76</f>
        <v>32.7</v>
      </c>
      <c r="AC76" s="170">
        <v>317</v>
      </c>
      <c r="AD76" s="170">
        <f>AC76*$T76</f>
        <v>10365.900000000001</v>
      </c>
      <c r="AE76" s="170">
        <v>30</v>
      </c>
      <c r="AF76" s="170">
        <f>AE76*$T76</f>
        <v>981.0000000000001</v>
      </c>
      <c r="AG76" s="170">
        <v>25</v>
      </c>
      <c r="AH76" s="170">
        <f t="shared" si="30"/>
        <v>817.5000000000001</v>
      </c>
    </row>
    <row r="77" spans="2:34" ht="88.5" customHeight="1">
      <c r="B77" s="26" t="s">
        <v>192</v>
      </c>
      <c r="C77" s="26" t="s">
        <v>193</v>
      </c>
      <c r="D77" s="26" t="s">
        <v>194</v>
      </c>
      <c r="E77" s="41">
        <v>15</v>
      </c>
      <c r="F77" s="137">
        <f>4/30</f>
        <v>0.13333333333333333</v>
      </c>
      <c r="G77" s="41" t="s">
        <v>90</v>
      </c>
      <c r="H77" s="26" t="s">
        <v>195</v>
      </c>
      <c r="I77" s="41">
        <v>30</v>
      </c>
      <c r="J77" s="41">
        <v>30</v>
      </c>
      <c r="K77" s="41">
        <v>30</v>
      </c>
      <c r="L77" s="142">
        <f>ROUND(E77/60*$H$1/147.7*F77,2)</f>
        <v>7.37</v>
      </c>
      <c r="M77" s="142">
        <v>5</v>
      </c>
      <c r="N77" s="142">
        <v>1</v>
      </c>
      <c r="O77" s="142">
        <v>5</v>
      </c>
      <c r="P77" s="142">
        <f t="shared" si="6"/>
        <v>36.85</v>
      </c>
      <c r="Q77" s="142">
        <f t="shared" si="6"/>
        <v>7.37</v>
      </c>
      <c r="R77" s="142">
        <f t="shared" si="6"/>
        <v>36.85</v>
      </c>
      <c r="S77" s="141">
        <f t="shared" si="32"/>
        <v>1105.5</v>
      </c>
      <c r="T77" s="141">
        <f t="shared" si="32"/>
        <v>221.1</v>
      </c>
      <c r="U77" s="141">
        <f t="shared" si="32"/>
        <v>1105.5</v>
      </c>
      <c r="V77" s="141"/>
      <c r="W77" s="141"/>
      <c r="X77" s="141"/>
      <c r="Y77" s="141"/>
      <c r="AA77" s="109">
        <f>V77+L77</f>
        <v>7.37</v>
      </c>
      <c r="AB77" s="109">
        <f>W77+S77</f>
        <v>1105.5</v>
      </c>
      <c r="AC77" s="170">
        <v>298</v>
      </c>
      <c r="AD77" s="170">
        <f>AC77*$T77</f>
        <v>65887.8</v>
      </c>
      <c r="AE77" s="170">
        <v>50</v>
      </c>
      <c r="AF77" s="170">
        <f>AE77*$T77</f>
        <v>11055</v>
      </c>
      <c r="AG77" s="170">
        <v>25</v>
      </c>
      <c r="AH77" s="170">
        <f t="shared" si="30"/>
        <v>5527.5</v>
      </c>
    </row>
    <row r="78" spans="2:34" ht="94.5">
      <c r="B78" s="26" t="s">
        <v>196</v>
      </c>
      <c r="C78" s="26" t="s">
        <v>197</v>
      </c>
      <c r="D78" s="27" t="s">
        <v>198</v>
      </c>
      <c r="E78" s="41">
        <v>15</v>
      </c>
      <c r="F78" s="137">
        <f>1/90</f>
        <v>0.011111111111111112</v>
      </c>
      <c r="G78" s="41" t="s">
        <v>90</v>
      </c>
      <c r="H78" s="26" t="s">
        <v>199</v>
      </c>
      <c r="I78" s="41">
        <v>30</v>
      </c>
      <c r="J78" s="41">
        <v>30</v>
      </c>
      <c r="K78" s="41">
        <v>30</v>
      </c>
      <c r="L78" s="142">
        <f>ROUND(E78/60*$H$1/147.7*F78,2)</f>
        <v>0.61</v>
      </c>
      <c r="M78" s="174">
        <v>24</v>
      </c>
      <c r="N78" s="142">
        <v>1</v>
      </c>
      <c r="O78" s="174">
        <v>24</v>
      </c>
      <c r="P78" s="142">
        <f>ROUND($L78*M78,2)</f>
        <v>14.64</v>
      </c>
      <c r="Q78" s="142">
        <f t="shared" si="6"/>
        <v>0.61</v>
      </c>
      <c r="R78" s="142">
        <f>ROUND($L78*O78*W5,2)</f>
        <v>20.42</v>
      </c>
      <c r="S78" s="141">
        <f t="shared" si="32"/>
        <v>439.20000000000005</v>
      </c>
      <c r="T78" s="141">
        <f t="shared" si="32"/>
        <v>18.3</v>
      </c>
      <c r="U78" s="108">
        <f t="shared" si="32"/>
        <v>612.6</v>
      </c>
      <c r="V78" s="144"/>
      <c r="W78" s="141"/>
      <c r="X78" s="141"/>
      <c r="Y78" s="144"/>
      <c r="Z78" s="1" t="s">
        <v>144</v>
      </c>
      <c r="AA78" s="145">
        <f>V78+L78</f>
        <v>0.61</v>
      </c>
      <c r="AB78" s="145">
        <f>W78+S78</f>
        <v>439.20000000000005</v>
      </c>
      <c r="AC78" s="170">
        <v>80</v>
      </c>
      <c r="AD78" s="170">
        <f>AC78*$T78</f>
        <v>1464</v>
      </c>
      <c r="AE78" s="170">
        <v>50</v>
      </c>
      <c r="AF78" s="170">
        <f>AE78*$T78</f>
        <v>915</v>
      </c>
      <c r="AG78" s="170">
        <v>25</v>
      </c>
      <c r="AH78" s="170">
        <f t="shared" si="30"/>
        <v>457.5</v>
      </c>
    </row>
    <row r="79" spans="2:34" ht="90" customHeight="1">
      <c r="B79" s="41" t="s">
        <v>200</v>
      </c>
      <c r="C79" s="26" t="s">
        <v>201</v>
      </c>
      <c r="D79" s="27" t="s">
        <v>202</v>
      </c>
      <c r="E79" s="41">
        <v>15</v>
      </c>
      <c r="F79" s="146">
        <f>18/365</f>
        <v>0.049315068493150684</v>
      </c>
      <c r="G79" s="41" t="s">
        <v>90</v>
      </c>
      <c r="H79" s="26" t="s">
        <v>91</v>
      </c>
      <c r="I79" s="45">
        <v>30</v>
      </c>
      <c r="J79" s="45">
        <v>30</v>
      </c>
      <c r="K79" s="45">
        <v>30</v>
      </c>
      <c r="L79" s="138">
        <f>ROUND(E79/60*$H$1/147.7*F79,2)</f>
        <v>2.73</v>
      </c>
      <c r="M79" s="147">
        <v>1</v>
      </c>
      <c r="N79" s="138">
        <v>1</v>
      </c>
      <c r="O79" s="147">
        <v>8</v>
      </c>
      <c r="P79" s="138">
        <f>ROUND($L79*M79,2)</f>
        <v>2.73</v>
      </c>
      <c r="Q79" s="138">
        <f t="shared" si="6"/>
        <v>2.73</v>
      </c>
      <c r="R79" s="109">
        <f>ROUND($L79*O79,2)</f>
        <v>21.84</v>
      </c>
      <c r="S79" s="141">
        <f t="shared" si="32"/>
        <v>81.9</v>
      </c>
      <c r="T79" s="141">
        <f t="shared" si="32"/>
        <v>81.9</v>
      </c>
      <c r="U79" s="141">
        <f t="shared" si="32"/>
        <v>655.2</v>
      </c>
      <c r="V79" s="45"/>
      <c r="W79" s="45"/>
      <c r="X79" s="45" t="s">
        <v>203</v>
      </c>
      <c r="Y79" s="45"/>
      <c r="AA79" s="95">
        <f>V79+L79</f>
        <v>2.73</v>
      </c>
      <c r="AB79" s="95">
        <f>W79+S79</f>
        <v>81.9</v>
      </c>
      <c r="AC79" s="170">
        <v>11</v>
      </c>
      <c r="AD79" s="170">
        <f>AC79*$T79</f>
        <v>900.9000000000001</v>
      </c>
      <c r="AE79" s="170">
        <v>24</v>
      </c>
      <c r="AF79" s="170">
        <f>AE79*$T79</f>
        <v>1965.6000000000001</v>
      </c>
      <c r="AG79" s="170">
        <v>12</v>
      </c>
      <c r="AH79" s="170">
        <f t="shared" si="30"/>
        <v>982.8000000000001</v>
      </c>
    </row>
    <row r="80" spans="2:34" ht="15.75">
      <c r="B80" s="180"/>
      <c r="C80" s="180"/>
      <c r="D80" s="180"/>
      <c r="E80" s="180"/>
      <c r="F80" s="180" t="s">
        <v>212</v>
      </c>
      <c r="G80" s="180"/>
      <c r="H80" s="180"/>
      <c r="I80" s="180"/>
      <c r="J80" s="148"/>
      <c r="K80" s="149"/>
      <c r="L80" s="150" t="s">
        <v>204</v>
      </c>
      <c r="M80" s="150" t="s">
        <v>204</v>
      </c>
      <c r="N80" s="150"/>
      <c r="O80" s="150"/>
      <c r="P80" s="150" t="s">
        <v>204</v>
      </c>
      <c r="Q80" s="150"/>
      <c r="R80" s="150"/>
      <c r="S80" s="3">
        <f>S9+S31+S56+S59+S65+S71+S75</f>
        <v>26389.8</v>
      </c>
      <c r="T80" s="3">
        <f>T9+T31+T56+T59+T65+T71+T75</f>
        <v>18300.600000000002</v>
      </c>
      <c r="U80" s="3">
        <f>U9+U31+U56+U59+U65+U71+U75</f>
        <v>50514.450000000004</v>
      </c>
      <c r="V80" s="3"/>
      <c r="W80" s="3">
        <f>W9+W31+W56+W59+W65+W71+W75</f>
        <v>0</v>
      </c>
      <c r="X80" s="3">
        <f>X9+X31+X56+X59+X65+X71+X75</f>
        <v>0</v>
      </c>
      <c r="Y80" s="3">
        <f>Y9+Y31+Y56+Y59+Y65+Y71+Y75</f>
        <v>425</v>
      </c>
      <c r="AA80" s="151">
        <f>SUM(AA9:AA79)</f>
        <v>1689.524347031963</v>
      </c>
      <c r="AB80" s="151">
        <f>SUM(AB9:AB79)</f>
        <v>33935.479999999996</v>
      </c>
      <c r="AC80" s="3"/>
      <c r="AD80" s="3">
        <f>AD9+AD31+AD56+AD59+AD65+AD71+AD75</f>
        <v>5233795.799999999</v>
      </c>
      <c r="AE80" s="3"/>
      <c r="AF80" s="3">
        <f>AF9+AF31+AF56+AF59+AF65+AF71+AF75</f>
        <v>857479.5</v>
      </c>
      <c r="AG80" s="3"/>
      <c r="AH80" s="3">
        <f>AH9+AH31+AH56+AH59+AH65+AH71+AH75</f>
        <v>398307</v>
      </c>
    </row>
    <row r="81" spans="2:34" ht="30"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52" t="s">
        <v>205</v>
      </c>
      <c r="M81" s="152" t="s">
        <v>205</v>
      </c>
      <c r="N81" s="152"/>
      <c r="O81" s="152"/>
      <c r="P81" s="152" t="s">
        <v>205</v>
      </c>
      <c r="Q81" s="152"/>
      <c r="R81" s="152"/>
      <c r="S81" s="3">
        <f>S80*12</f>
        <v>316677.6</v>
      </c>
      <c r="T81" s="3">
        <f>T80*12</f>
        <v>219607.2</v>
      </c>
      <c r="U81" s="3">
        <f>U80*12</f>
        <v>606173.4</v>
      </c>
      <c r="V81" s="3"/>
      <c r="W81" s="3">
        <f>W80*12</f>
        <v>0</v>
      </c>
      <c r="X81" s="3">
        <f>X80*12</f>
        <v>0</v>
      </c>
      <c r="Y81" s="3">
        <f>Y80*12</f>
        <v>5100</v>
      </c>
      <c r="AA81" s="5"/>
      <c r="AB81" s="5"/>
      <c r="AC81" s="3"/>
      <c r="AD81" s="3">
        <f>AD80*12</f>
        <v>62805549.59999999</v>
      </c>
      <c r="AE81" s="3"/>
      <c r="AF81" s="3">
        <f>AF80*12</f>
        <v>10289754</v>
      </c>
      <c r="AG81" s="3"/>
      <c r="AH81" s="3">
        <f>AH80*12</f>
        <v>4779684</v>
      </c>
    </row>
    <row r="82" spans="11:34" ht="45">
      <c r="K82" s="153"/>
      <c r="L82" s="152" t="s">
        <v>206</v>
      </c>
      <c r="M82" s="152" t="s">
        <v>206</v>
      </c>
      <c r="N82" s="152"/>
      <c r="O82" s="152"/>
      <c r="P82" s="152" t="s">
        <v>206</v>
      </c>
      <c r="Q82" s="152"/>
      <c r="R82" s="152"/>
      <c r="S82" s="63">
        <v>567</v>
      </c>
      <c r="T82" s="63">
        <v>390</v>
      </c>
      <c r="U82" s="63">
        <v>120</v>
      </c>
      <c r="V82" s="63"/>
      <c r="W82" s="63">
        <v>115</v>
      </c>
      <c r="X82" s="63">
        <v>390</v>
      </c>
      <c r="Y82" s="63">
        <v>120</v>
      </c>
      <c r="Z82" s="1" t="s">
        <v>207</v>
      </c>
      <c r="AA82" s="20"/>
      <c r="AB82" s="20"/>
      <c r="AC82" s="63"/>
      <c r="AD82" s="63"/>
      <c r="AE82" s="63"/>
      <c r="AF82" s="63"/>
      <c r="AG82" s="63"/>
      <c r="AH82" s="63"/>
    </row>
    <row r="83" spans="12:34" ht="15">
      <c r="L83" s="63"/>
      <c r="M83" s="63"/>
      <c r="N83" s="63"/>
      <c r="O83" s="63"/>
      <c r="P83" s="63"/>
      <c r="Q83" s="63"/>
      <c r="R83" s="63"/>
      <c r="S83" s="3">
        <f>S81*S82</f>
        <v>179556199.2</v>
      </c>
      <c r="T83" s="3">
        <f>T81*T82</f>
        <v>85646808</v>
      </c>
      <c r="U83" s="3">
        <f>U81*U82</f>
        <v>72740808</v>
      </c>
      <c r="V83" s="3"/>
      <c r="W83" s="3"/>
      <c r="X83" s="3"/>
      <c r="Y83" s="3"/>
      <c r="AA83" s="5"/>
      <c r="AB83" s="5"/>
      <c r="AC83" s="3"/>
      <c r="AD83" s="3">
        <v>64026300</v>
      </c>
      <c r="AE83" s="3"/>
      <c r="AF83" s="3">
        <v>11522200</v>
      </c>
      <c r="AG83" s="3"/>
      <c r="AH83" s="3"/>
    </row>
    <row r="84" spans="12:34" ht="15">
      <c r="L84" s="63"/>
      <c r="M84" s="63"/>
      <c r="N84" s="63"/>
      <c r="O84" s="63"/>
      <c r="P84" s="63"/>
      <c r="Q84" s="63"/>
      <c r="R84" s="63"/>
      <c r="S84" s="3">
        <v>179439800</v>
      </c>
      <c r="T84" s="3">
        <v>68726970</v>
      </c>
      <c r="U84" s="3">
        <v>72473380.16</v>
      </c>
      <c r="V84" s="3"/>
      <c r="W84" s="3"/>
      <c r="X84" s="3"/>
      <c r="Y84" s="3"/>
      <c r="AA84" s="5"/>
      <c r="AB84" s="5"/>
      <c r="AC84" s="3"/>
      <c r="AD84" s="3">
        <f>AD81-AD83</f>
        <v>-1220750.4000000134</v>
      </c>
      <c r="AE84" s="3"/>
      <c r="AF84" s="3">
        <f>AF81-AF83</f>
        <v>-1232446</v>
      </c>
      <c r="AG84" s="3"/>
      <c r="AH84" s="3">
        <f>AH81-AH83</f>
        <v>4779684</v>
      </c>
    </row>
    <row r="85" spans="19:31" ht="15">
      <c r="S85" s="154">
        <f>S83-S84</f>
        <v>116399.19999998808</v>
      </c>
      <c r="T85" s="154">
        <f>T83-T84</f>
        <v>16919838</v>
      </c>
      <c r="U85" s="154">
        <f>U83-U84</f>
        <v>267427.8400000036</v>
      </c>
      <c r="V85" s="154"/>
      <c r="W85" s="154"/>
      <c r="X85" s="154"/>
      <c r="Y85" s="154"/>
      <c r="AA85" s="155"/>
      <c r="AB85" s="155"/>
      <c r="AC85" s="154"/>
      <c r="AD85" s="154"/>
      <c r="AE85" s="154"/>
    </row>
    <row r="86" spans="19:31" ht="15">
      <c r="S86" s="154"/>
      <c r="T86" s="154"/>
      <c r="U86" s="154"/>
      <c r="V86" s="154"/>
      <c r="Y86" s="154"/>
      <c r="AA86" s="155"/>
      <c r="AB86" s="155"/>
      <c r="AC86" s="154"/>
      <c r="AD86" s="154"/>
      <c r="AE86" s="154"/>
    </row>
    <row r="87" spans="19:31" ht="15">
      <c r="S87" s="154"/>
      <c r="T87" s="154"/>
      <c r="U87" s="154"/>
      <c r="AC87" s="154"/>
      <c r="AD87" s="154"/>
      <c r="AE87" s="154"/>
    </row>
  </sheetData>
  <sheetProtection sort="0" autoFilter="0"/>
  <autoFilter ref="B8:X85"/>
  <mergeCells count="66">
    <mergeCell ref="B68:B70"/>
    <mergeCell ref="C68:C70"/>
    <mergeCell ref="E10:E15"/>
    <mergeCell ref="B32:B42"/>
    <mergeCell ref="B43:B45"/>
    <mergeCell ref="B60:B62"/>
    <mergeCell ref="B46:B48"/>
    <mergeCell ref="C43:C45"/>
    <mergeCell ref="B10:B15"/>
    <mergeCell ref="B49:B53"/>
    <mergeCell ref="C49:C53"/>
    <mergeCell ref="C32:C42"/>
    <mergeCell ref="B20:B29"/>
    <mergeCell ref="C20:C29"/>
    <mergeCell ref="C46:C48"/>
    <mergeCell ref="C10:C15"/>
    <mergeCell ref="C60:C62"/>
    <mergeCell ref="AG8:AH8"/>
    <mergeCell ref="AH10:AH15"/>
    <mergeCell ref="AC8:AD8"/>
    <mergeCell ref="AG10:AG15"/>
    <mergeCell ref="AD10:AD15"/>
    <mergeCell ref="AC10:AC15"/>
    <mergeCell ref="AA6:AA8"/>
    <mergeCell ref="Y10:Y15"/>
    <mergeCell ref="AA10:AA15"/>
    <mergeCell ref="L10:L15"/>
    <mergeCell ref="G10:G15"/>
    <mergeCell ref="F10:F15"/>
    <mergeCell ref="W7:Y7"/>
    <mergeCell ref="W6:Y6"/>
    <mergeCell ref="M7:O7"/>
    <mergeCell ref="AC6:AE6"/>
    <mergeCell ref="AC7:AE7"/>
    <mergeCell ref="AE8:AF8"/>
    <mergeCell ref="AB10:AB15"/>
    <mergeCell ref="N10:N15"/>
    <mergeCell ref="P10:P15"/>
    <mergeCell ref="S7:U7"/>
    <mergeCell ref="P7:R7"/>
    <mergeCell ref="S6:U6"/>
    <mergeCell ref="V6:V8"/>
    <mergeCell ref="L6:R6"/>
    <mergeCell ref="AB6:AB8"/>
    <mergeCell ref="M10:M15"/>
    <mergeCell ref="R10:R15"/>
    <mergeCell ref="AF10:AF15"/>
    <mergeCell ref="AE10:AE15"/>
    <mergeCell ref="V10:V15"/>
    <mergeCell ref="X10:X15"/>
    <mergeCell ref="W10:W15"/>
    <mergeCell ref="S10:S15"/>
    <mergeCell ref="T10:T15"/>
    <mergeCell ref="U10:U15"/>
    <mergeCell ref="O10:O15"/>
    <mergeCell ref="Q10:Q15"/>
    <mergeCell ref="B5:I5"/>
    <mergeCell ref="B6:B8"/>
    <mergeCell ref="C6:C8"/>
    <mergeCell ref="D6:H7"/>
    <mergeCell ref="I6:K6"/>
    <mergeCell ref="K10:K15"/>
    <mergeCell ref="J10:J15"/>
    <mergeCell ref="H10:H15"/>
    <mergeCell ref="I10:I15"/>
    <mergeCell ref="D10:D11"/>
  </mergeCells>
  <printOptions/>
  <pageMargins left="0.11811023622047245" right="0.31496062992125984" top="0.35433070866141736" bottom="0.35433070866141736" header="0.31496062992125984" footer="0.31496062992125984"/>
  <pageSetup fitToHeight="6" fitToWidth="1" horizontalDpi="600" verticalDpi="600" orientation="landscape" paperSize="8" scale="3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5"/>
  <sheetViews>
    <sheetView view="pageBreakPreview" zoomScale="60" zoomScalePageLayoutView="0" workbookViewId="0" topLeftCell="A1">
      <selection activeCell="F25" sqref="F25"/>
    </sheetView>
  </sheetViews>
  <sheetFormatPr defaultColWidth="9.140625" defaultRowHeight="15"/>
  <cols>
    <col min="1" max="1" width="7.00390625" style="264" customWidth="1"/>
    <col min="2" max="2" width="55.8515625" style="264" customWidth="1"/>
    <col min="3" max="3" width="10.7109375" style="264" customWidth="1"/>
    <col min="4" max="4" width="14.00390625" style="264" customWidth="1"/>
    <col min="5" max="5" width="13.421875" style="264" customWidth="1"/>
    <col min="6" max="6" width="12.140625" style="264" customWidth="1"/>
    <col min="7" max="7" width="16.00390625" style="264" customWidth="1"/>
    <col min="8" max="8" width="10.421875" style="264" customWidth="1"/>
    <col min="9" max="9" width="17.421875" style="264" customWidth="1"/>
    <col min="10" max="10" width="10.57421875" style="264" customWidth="1"/>
    <col min="11" max="11" width="18.28125" style="264" customWidth="1"/>
    <col min="12" max="12" width="10.57421875" style="264" customWidth="1"/>
    <col min="13" max="13" width="17.28125" style="264" customWidth="1"/>
    <col min="14" max="14" width="11.7109375" style="264" customWidth="1"/>
    <col min="15" max="15" width="16.140625" style="264" customWidth="1"/>
    <col min="16" max="16" width="10.421875" style="264" customWidth="1"/>
    <col min="17" max="17" width="16.140625" style="264" customWidth="1"/>
    <col min="18" max="18" width="11.00390625" style="264" customWidth="1"/>
    <col min="19" max="19" width="17.7109375" style="264" customWidth="1"/>
    <col min="20" max="20" width="12.140625" style="264" customWidth="1"/>
    <col min="21" max="21" width="17.421875" style="264" customWidth="1"/>
    <col min="22" max="22" width="10.57421875" style="264" customWidth="1"/>
    <col min="23" max="23" width="16.7109375" style="264" customWidth="1"/>
    <col min="24" max="24" width="11.140625" style="264" customWidth="1"/>
    <col min="25" max="25" width="16.00390625" style="264" customWidth="1"/>
    <col min="26" max="26" width="11.00390625" style="264" customWidth="1"/>
    <col min="27" max="27" width="15.7109375" style="264" customWidth="1"/>
    <col min="28" max="16384" width="9.140625" style="264" customWidth="1"/>
  </cols>
  <sheetData>
    <row r="1" ht="16.5" thickBot="1"/>
    <row r="2" spans="1:28" ht="30" customHeight="1">
      <c r="A2" s="465" t="s">
        <v>18</v>
      </c>
      <c r="B2" s="465" t="s">
        <v>19</v>
      </c>
      <c r="C2" s="460" t="s">
        <v>226</v>
      </c>
      <c r="D2" s="464"/>
      <c r="E2" s="464"/>
      <c r="F2" s="457" t="s">
        <v>36</v>
      </c>
      <c r="G2" s="461"/>
      <c r="H2" s="461"/>
      <c r="I2" s="458"/>
      <c r="J2" s="457" t="s">
        <v>239</v>
      </c>
      <c r="K2" s="458"/>
      <c r="L2" s="457" t="s">
        <v>211</v>
      </c>
      <c r="M2" s="458"/>
      <c r="N2" s="457" t="s">
        <v>238</v>
      </c>
      <c r="O2" s="458"/>
      <c r="P2" s="457" t="s">
        <v>240</v>
      </c>
      <c r="Q2" s="458"/>
      <c r="R2" s="457" t="s">
        <v>214</v>
      </c>
      <c r="S2" s="458"/>
      <c r="T2" s="457" t="s">
        <v>215</v>
      </c>
      <c r="U2" s="458"/>
      <c r="V2" s="457" t="s">
        <v>241</v>
      </c>
      <c r="W2" s="458"/>
      <c r="X2" s="461" t="s">
        <v>242</v>
      </c>
      <c r="Y2" s="458"/>
      <c r="Z2" s="457" t="s">
        <v>216</v>
      </c>
      <c r="AA2" s="458"/>
      <c r="AB2" s="219"/>
    </row>
    <row r="3" spans="1:27" ht="45" customHeight="1">
      <c r="A3" s="466"/>
      <c r="B3" s="466"/>
      <c r="C3" s="460" t="s">
        <v>223</v>
      </c>
      <c r="D3" s="464"/>
      <c r="E3" s="456"/>
      <c r="F3" s="220" t="s">
        <v>244</v>
      </c>
      <c r="G3" s="221" t="s">
        <v>245</v>
      </c>
      <c r="H3" s="222" t="s">
        <v>244</v>
      </c>
      <c r="I3" s="223" t="s">
        <v>245</v>
      </c>
      <c r="J3" s="220" t="s">
        <v>244</v>
      </c>
      <c r="K3" s="223" t="s">
        <v>245</v>
      </c>
      <c r="L3" s="220" t="s">
        <v>244</v>
      </c>
      <c r="M3" s="223" t="s">
        <v>245</v>
      </c>
      <c r="N3" s="220" t="s">
        <v>244</v>
      </c>
      <c r="O3" s="223" t="s">
        <v>245</v>
      </c>
      <c r="P3" s="220" t="s">
        <v>244</v>
      </c>
      <c r="Q3" s="223" t="s">
        <v>245</v>
      </c>
      <c r="R3" s="220" t="s">
        <v>244</v>
      </c>
      <c r="S3" s="223" t="s">
        <v>245</v>
      </c>
      <c r="T3" s="220" t="s">
        <v>244</v>
      </c>
      <c r="U3" s="223" t="s">
        <v>245</v>
      </c>
      <c r="V3" s="220" t="s">
        <v>244</v>
      </c>
      <c r="W3" s="223" t="s">
        <v>245</v>
      </c>
      <c r="X3" s="219" t="s">
        <v>244</v>
      </c>
      <c r="Y3" s="223" t="s">
        <v>245</v>
      </c>
      <c r="Z3" s="220" t="s">
        <v>244</v>
      </c>
      <c r="AA3" s="223" t="s">
        <v>245</v>
      </c>
    </row>
    <row r="4" spans="1:27" ht="15.75">
      <c r="A4" s="467"/>
      <c r="B4" s="467"/>
      <c r="C4" s="222" t="s">
        <v>34</v>
      </c>
      <c r="D4" s="222" t="s">
        <v>38</v>
      </c>
      <c r="E4" s="221" t="s">
        <v>36</v>
      </c>
      <c r="F4" s="455" t="s">
        <v>34</v>
      </c>
      <c r="G4" s="459"/>
      <c r="H4" s="460" t="s">
        <v>247</v>
      </c>
      <c r="I4" s="456"/>
      <c r="J4" s="455" t="s">
        <v>34</v>
      </c>
      <c r="K4" s="456"/>
      <c r="L4" s="455" t="s">
        <v>34</v>
      </c>
      <c r="M4" s="456"/>
      <c r="N4" s="455" t="s">
        <v>34</v>
      </c>
      <c r="O4" s="456"/>
      <c r="P4" s="455" t="s">
        <v>38</v>
      </c>
      <c r="Q4" s="456"/>
      <c r="R4" s="455" t="s">
        <v>38</v>
      </c>
      <c r="S4" s="456"/>
      <c r="T4" s="455" t="s">
        <v>38</v>
      </c>
      <c r="U4" s="456"/>
      <c r="V4" s="455" t="s">
        <v>38</v>
      </c>
      <c r="W4" s="456"/>
      <c r="X4" s="464" t="s">
        <v>38</v>
      </c>
      <c r="Y4" s="456"/>
      <c r="Z4" s="455" t="s">
        <v>38</v>
      </c>
      <c r="AA4" s="456"/>
    </row>
    <row r="5" spans="1:27" ht="32.25" customHeight="1">
      <c r="A5" s="462" t="s">
        <v>228</v>
      </c>
      <c r="B5" s="463"/>
      <c r="C5" s="224">
        <f>SUM(C6:C12)</f>
        <v>1114.1074191780822</v>
      </c>
      <c r="D5" s="224">
        <f>SUM(D6:D12)</f>
        <v>1153.8969698630135</v>
      </c>
      <c r="E5" s="225">
        <f>SUM(E6:E12)</f>
        <v>1119.7782367123286</v>
      </c>
      <c r="F5" s="226"/>
      <c r="G5" s="224">
        <f aca="true" t="shared" si="0" ref="G5:AA5">SUM(G6:G12)</f>
        <v>122404.81223561644</v>
      </c>
      <c r="H5" s="224"/>
      <c r="I5" s="227">
        <f t="shared" si="0"/>
        <v>124918.87640547944</v>
      </c>
      <c r="J5" s="226"/>
      <c r="K5" s="227">
        <f t="shared" si="0"/>
        <v>524953.9746739726</v>
      </c>
      <c r="L5" s="226"/>
      <c r="M5" s="227">
        <f t="shared" si="0"/>
        <v>111164.26520547946</v>
      </c>
      <c r="N5" s="226"/>
      <c r="O5" s="228">
        <f t="shared" si="0"/>
        <v>137319.07997260272</v>
      </c>
      <c r="P5" s="226"/>
      <c r="Q5" s="227">
        <f t="shared" si="0"/>
        <v>236346.16373698632</v>
      </c>
      <c r="R5" s="226"/>
      <c r="S5" s="227">
        <f t="shared" si="0"/>
        <v>357560.7277465753</v>
      </c>
      <c r="T5" s="226"/>
      <c r="U5" s="227">
        <f t="shared" si="0"/>
        <v>55954.35549315069</v>
      </c>
      <c r="V5" s="226"/>
      <c r="W5" s="227">
        <f t="shared" si="0"/>
        <v>51802.40364383561</v>
      </c>
      <c r="X5" s="229"/>
      <c r="Y5" s="227">
        <f t="shared" si="0"/>
        <v>37799.521643835615</v>
      </c>
      <c r="Z5" s="226"/>
      <c r="AA5" s="227">
        <f t="shared" si="0"/>
        <v>24723.363246575344</v>
      </c>
    </row>
    <row r="6" spans="1:27" ht="45.75" customHeight="1">
      <c r="A6" s="217" t="s">
        <v>40</v>
      </c>
      <c r="B6" s="218" t="s">
        <v>229</v>
      </c>
      <c r="C6" s="230">
        <f>Расчет!AJ10</f>
        <v>19.699419178082195</v>
      </c>
      <c r="D6" s="230">
        <f>Расчет!AK10</f>
        <v>20.4029698630137</v>
      </c>
      <c r="E6" s="231">
        <f>Расчет!AL10</f>
        <v>17.166636712328767</v>
      </c>
      <c r="F6" s="232">
        <v>127</v>
      </c>
      <c r="G6" s="230">
        <f>C6*F6</f>
        <v>2501.8262356164387</v>
      </c>
      <c r="H6" s="230">
        <v>120</v>
      </c>
      <c r="I6" s="233">
        <f>H6*E6</f>
        <v>2059.996405479452</v>
      </c>
      <c r="J6" s="234">
        <v>567</v>
      </c>
      <c r="K6" s="233">
        <f>C6*J6</f>
        <v>11169.570673972605</v>
      </c>
      <c r="L6" s="232">
        <v>115</v>
      </c>
      <c r="M6" s="233">
        <f aca="true" t="shared" si="1" ref="M6:M12">C6*L6</f>
        <v>2265.433205479452</v>
      </c>
      <c r="N6" s="232">
        <v>155</v>
      </c>
      <c r="O6" s="235">
        <f>N6*C6</f>
        <v>3053.4099726027403</v>
      </c>
      <c r="P6" s="232">
        <v>241</v>
      </c>
      <c r="Q6" s="233">
        <f>P6*D6</f>
        <v>4917.115736986301</v>
      </c>
      <c r="R6" s="231">
        <v>390</v>
      </c>
      <c r="S6" s="233">
        <f>R6*D6</f>
        <v>7957.158246575343</v>
      </c>
      <c r="T6" s="232">
        <v>50</v>
      </c>
      <c r="U6" s="233">
        <f>T6*D6</f>
        <v>1020.1484931506849</v>
      </c>
      <c r="V6" s="232">
        <v>45</v>
      </c>
      <c r="W6" s="233">
        <f>V6*D6</f>
        <v>918.1336438356165</v>
      </c>
      <c r="X6" s="236">
        <v>45</v>
      </c>
      <c r="Y6" s="233">
        <f>X6*D6</f>
        <v>918.1336438356165</v>
      </c>
      <c r="Z6" s="237">
        <v>25</v>
      </c>
      <c r="AA6" s="233">
        <f>Z6*D6</f>
        <v>510.07424657534244</v>
      </c>
    </row>
    <row r="7" spans="1:27" ht="32.25" customHeight="1">
      <c r="A7" s="217" t="s">
        <v>50</v>
      </c>
      <c r="B7" s="218" t="s">
        <v>51</v>
      </c>
      <c r="C7" s="230">
        <f>Расчет!AJ16</f>
        <v>424.2</v>
      </c>
      <c r="D7" s="230">
        <f>Расчет!AK16</f>
        <v>439.35</v>
      </c>
      <c r="E7" s="231">
        <f>Расчет!AL16</f>
        <v>422.8642</v>
      </c>
      <c r="F7" s="232">
        <v>127</v>
      </c>
      <c r="G7" s="230">
        <f aca="true" t="shared" si="2" ref="G7:G12">C7*F7</f>
        <v>53873.4</v>
      </c>
      <c r="H7" s="230">
        <v>120</v>
      </c>
      <c r="I7" s="233">
        <f aca="true" t="shared" si="3" ref="I7:I39">H7*E7</f>
        <v>50743.704</v>
      </c>
      <c r="J7" s="234">
        <v>567</v>
      </c>
      <c r="K7" s="233">
        <f aca="true" t="shared" si="4" ref="K7:K29">C7*J7</f>
        <v>240521.4</v>
      </c>
      <c r="L7" s="232">
        <v>115</v>
      </c>
      <c r="M7" s="233">
        <f t="shared" si="1"/>
        <v>48783</v>
      </c>
      <c r="N7" s="232">
        <v>155</v>
      </c>
      <c r="O7" s="235">
        <f aca="true" t="shared" si="5" ref="O7:O39">N7*C7</f>
        <v>65751</v>
      </c>
      <c r="P7" s="232">
        <v>241</v>
      </c>
      <c r="Q7" s="233">
        <f aca="true" t="shared" si="6" ref="Q7:Q39">P7*D7</f>
        <v>105883.35</v>
      </c>
      <c r="R7" s="231">
        <v>390</v>
      </c>
      <c r="S7" s="233">
        <f aca="true" t="shared" si="7" ref="S7:S39">R7*D7</f>
        <v>171346.5</v>
      </c>
      <c r="T7" s="232">
        <v>50</v>
      </c>
      <c r="U7" s="233">
        <f aca="true" t="shared" si="8" ref="U7:U39">T7*D7</f>
        <v>21967.5</v>
      </c>
      <c r="V7" s="232">
        <v>45</v>
      </c>
      <c r="W7" s="233">
        <f aca="true" t="shared" si="9" ref="W7:W39">V7*D7</f>
        <v>19770.75</v>
      </c>
      <c r="X7" s="236">
        <v>45</v>
      </c>
      <c r="Y7" s="233">
        <f aca="true" t="shared" si="10" ref="Y7:Y39">X7*D7</f>
        <v>19770.75</v>
      </c>
      <c r="Z7" s="237">
        <v>25</v>
      </c>
      <c r="AA7" s="233">
        <f aca="true" t="shared" si="11" ref="AA7:AA39">Z7*D7</f>
        <v>10983.75</v>
      </c>
    </row>
    <row r="8" spans="1:27" ht="65.25" customHeight="1">
      <c r="A8" s="217" t="s">
        <v>56</v>
      </c>
      <c r="B8" s="218" t="s">
        <v>57</v>
      </c>
      <c r="C8" s="230">
        <f>Расчет!AJ17</f>
        <v>48.215999999999994</v>
      </c>
      <c r="D8" s="230">
        <f>Расчет!AK17</f>
        <v>49.937999999999995</v>
      </c>
      <c r="E8" s="231">
        <f>Расчет!AL17</f>
        <v>63.0252</v>
      </c>
      <c r="F8" s="232">
        <v>127</v>
      </c>
      <c r="G8" s="230">
        <f t="shared" si="2"/>
        <v>6123.431999999999</v>
      </c>
      <c r="H8" s="230">
        <v>120</v>
      </c>
      <c r="I8" s="233">
        <f t="shared" si="3"/>
        <v>7563.023999999999</v>
      </c>
      <c r="J8" s="234">
        <v>567</v>
      </c>
      <c r="K8" s="233">
        <f t="shared" si="4"/>
        <v>27338.471999999998</v>
      </c>
      <c r="L8" s="232">
        <v>115</v>
      </c>
      <c r="M8" s="233">
        <f t="shared" si="1"/>
        <v>5544.839999999999</v>
      </c>
      <c r="N8" s="232">
        <v>155</v>
      </c>
      <c r="O8" s="235">
        <f t="shared" si="5"/>
        <v>7473.479999999999</v>
      </c>
      <c r="P8" s="232">
        <v>241</v>
      </c>
      <c r="Q8" s="233">
        <f t="shared" si="6"/>
        <v>12035.057999999999</v>
      </c>
      <c r="R8" s="231">
        <v>390</v>
      </c>
      <c r="S8" s="233">
        <f t="shared" si="7"/>
        <v>19475.82</v>
      </c>
      <c r="T8" s="232">
        <v>50</v>
      </c>
      <c r="U8" s="233">
        <f t="shared" si="8"/>
        <v>2496.8999999999996</v>
      </c>
      <c r="V8" s="232">
        <v>45</v>
      </c>
      <c r="W8" s="233">
        <f t="shared" si="9"/>
        <v>2247.2099999999996</v>
      </c>
      <c r="X8" s="236">
        <v>45</v>
      </c>
      <c r="Y8" s="233">
        <f t="shared" si="10"/>
        <v>2247.2099999999996</v>
      </c>
      <c r="Z8" s="237">
        <v>25</v>
      </c>
      <c r="AA8" s="233">
        <f t="shared" si="11"/>
        <v>1248.4499999999998</v>
      </c>
    </row>
    <row r="9" spans="1:27" ht="31.5">
      <c r="A9" s="217" t="s">
        <v>61</v>
      </c>
      <c r="B9" s="218" t="s">
        <v>62</v>
      </c>
      <c r="C9" s="230">
        <f>Расчет!AJ18</f>
        <v>279.818</v>
      </c>
      <c r="D9" s="230">
        <f>Расчет!AK18</f>
        <v>289.8115</v>
      </c>
      <c r="E9" s="231">
        <f>Расчет!AL18</f>
        <v>304.8048</v>
      </c>
      <c r="F9" s="232">
        <v>60</v>
      </c>
      <c r="G9" s="230">
        <f t="shared" si="2"/>
        <v>16789.079999999998</v>
      </c>
      <c r="H9" s="230">
        <v>90</v>
      </c>
      <c r="I9" s="233">
        <f t="shared" si="3"/>
        <v>27432.432</v>
      </c>
      <c r="J9" s="234">
        <v>189</v>
      </c>
      <c r="K9" s="233">
        <f>C9*J9</f>
        <v>52885.602</v>
      </c>
      <c r="L9" s="232">
        <v>55</v>
      </c>
      <c r="M9" s="233">
        <f t="shared" si="1"/>
        <v>15389.99</v>
      </c>
      <c r="N9" s="232">
        <v>30</v>
      </c>
      <c r="O9" s="235">
        <f t="shared" si="5"/>
        <v>8394.539999999999</v>
      </c>
      <c r="P9" s="232">
        <v>177</v>
      </c>
      <c r="Q9" s="233">
        <f t="shared" si="6"/>
        <v>51296.635500000004</v>
      </c>
      <c r="R9" s="231">
        <v>75</v>
      </c>
      <c r="S9" s="233">
        <f t="shared" si="7"/>
        <v>21735.862500000003</v>
      </c>
      <c r="T9" s="232">
        <v>44</v>
      </c>
      <c r="U9" s="233">
        <f t="shared" si="8"/>
        <v>12751.706000000002</v>
      </c>
      <c r="V9" s="232">
        <v>45</v>
      </c>
      <c r="W9" s="233">
        <f t="shared" si="9"/>
        <v>13041.517500000002</v>
      </c>
      <c r="X9" s="236">
        <v>23</v>
      </c>
      <c r="Y9" s="233">
        <f t="shared" si="10"/>
        <v>6665.664500000001</v>
      </c>
      <c r="Z9" s="237">
        <v>11</v>
      </c>
      <c r="AA9" s="233">
        <f t="shared" si="11"/>
        <v>3187.9265000000005</v>
      </c>
    </row>
    <row r="10" spans="1:27" ht="47.25" customHeight="1">
      <c r="A10" s="217" t="s">
        <v>66</v>
      </c>
      <c r="B10" s="218" t="s">
        <v>67</v>
      </c>
      <c r="C10" s="230">
        <f>Расчет!AJ19</f>
        <v>0.392</v>
      </c>
      <c r="D10" s="230">
        <f>Расчет!AK19</f>
        <v>0.406</v>
      </c>
      <c r="E10" s="231">
        <f>Расчет!AL19</f>
        <v>0.3416</v>
      </c>
      <c r="F10" s="232">
        <v>77</v>
      </c>
      <c r="G10" s="230">
        <f t="shared" si="2"/>
        <v>30.184</v>
      </c>
      <c r="H10" s="230">
        <v>0</v>
      </c>
      <c r="I10" s="233">
        <f>H10*E10</f>
        <v>0</v>
      </c>
      <c r="J10" s="234">
        <v>567</v>
      </c>
      <c r="K10" s="233">
        <f t="shared" si="4"/>
        <v>222.264</v>
      </c>
      <c r="L10" s="232">
        <v>111</v>
      </c>
      <c r="M10" s="233">
        <f t="shared" si="1"/>
        <v>43.512</v>
      </c>
      <c r="N10" s="232">
        <v>145</v>
      </c>
      <c r="O10" s="235">
        <f t="shared" si="5"/>
        <v>56.84</v>
      </c>
      <c r="P10" s="232">
        <v>22</v>
      </c>
      <c r="Q10" s="233">
        <f t="shared" si="6"/>
        <v>8.932</v>
      </c>
      <c r="R10" s="231">
        <v>42</v>
      </c>
      <c r="S10" s="233">
        <f t="shared" si="7"/>
        <v>17.052</v>
      </c>
      <c r="T10" s="232">
        <v>46</v>
      </c>
      <c r="U10" s="233">
        <f t="shared" si="8"/>
        <v>18.676000000000002</v>
      </c>
      <c r="V10" s="232">
        <v>5</v>
      </c>
      <c r="W10" s="233">
        <f t="shared" si="9"/>
        <v>2.0300000000000002</v>
      </c>
      <c r="X10" s="236">
        <v>0</v>
      </c>
      <c r="Y10" s="233">
        <f t="shared" si="10"/>
        <v>0</v>
      </c>
      <c r="Z10" s="237">
        <v>25</v>
      </c>
      <c r="AA10" s="233">
        <f t="shared" si="11"/>
        <v>10.15</v>
      </c>
    </row>
    <row r="11" spans="1:27" ht="47.25">
      <c r="A11" s="217" t="s">
        <v>70</v>
      </c>
      <c r="B11" s="218" t="s">
        <v>71</v>
      </c>
      <c r="C11" s="230">
        <f>Расчет!AJ20</f>
        <v>339.206</v>
      </c>
      <c r="D11" s="230">
        <f>Расчет!AK20</f>
        <v>351.3205</v>
      </c>
      <c r="E11" s="231">
        <f>Расчет!AL20</f>
        <v>309.331</v>
      </c>
      <c r="F11" s="232">
        <v>127</v>
      </c>
      <c r="G11" s="230">
        <f t="shared" si="2"/>
        <v>43079.162000000004</v>
      </c>
      <c r="H11" s="230">
        <v>120</v>
      </c>
      <c r="I11" s="233">
        <f t="shared" si="3"/>
        <v>37119.72</v>
      </c>
      <c r="J11" s="234">
        <v>567</v>
      </c>
      <c r="K11" s="233">
        <f t="shared" si="4"/>
        <v>192329.802</v>
      </c>
      <c r="L11" s="232">
        <v>115</v>
      </c>
      <c r="M11" s="233">
        <f t="shared" si="1"/>
        <v>39008.69</v>
      </c>
      <c r="N11" s="232">
        <v>155</v>
      </c>
      <c r="O11" s="235">
        <f t="shared" si="5"/>
        <v>52576.93</v>
      </c>
      <c r="P11" s="232">
        <v>177</v>
      </c>
      <c r="Q11" s="233">
        <f t="shared" si="6"/>
        <v>62183.7285</v>
      </c>
      <c r="R11" s="231">
        <v>390</v>
      </c>
      <c r="S11" s="233">
        <f t="shared" si="7"/>
        <v>137014.995</v>
      </c>
      <c r="T11" s="232">
        <v>50</v>
      </c>
      <c r="U11" s="233">
        <f t="shared" si="8"/>
        <v>17566.024999999998</v>
      </c>
      <c r="V11" s="232">
        <v>45</v>
      </c>
      <c r="W11" s="233">
        <f t="shared" si="9"/>
        <v>15809.422499999999</v>
      </c>
      <c r="X11" s="236">
        <v>23</v>
      </c>
      <c r="Y11" s="233">
        <f t="shared" si="10"/>
        <v>8080.371499999999</v>
      </c>
      <c r="Z11" s="237">
        <v>25</v>
      </c>
      <c r="AA11" s="233">
        <f t="shared" si="11"/>
        <v>8783.012499999999</v>
      </c>
    </row>
    <row r="12" spans="1:27" ht="31.5">
      <c r="A12" s="217" t="s">
        <v>87</v>
      </c>
      <c r="B12" s="218" t="s">
        <v>88</v>
      </c>
      <c r="C12" s="230">
        <f>Расчет!AJ30</f>
        <v>2.576</v>
      </c>
      <c r="D12" s="230">
        <f>Расчет!AK30</f>
        <v>2.668</v>
      </c>
      <c r="E12" s="231">
        <f>Расчет!AL30</f>
        <v>2.2448</v>
      </c>
      <c r="F12" s="232">
        <v>3</v>
      </c>
      <c r="G12" s="230">
        <f t="shared" si="2"/>
        <v>7.728</v>
      </c>
      <c r="H12" s="230">
        <v>0</v>
      </c>
      <c r="I12" s="233">
        <f t="shared" si="3"/>
        <v>0</v>
      </c>
      <c r="J12" s="234">
        <v>189</v>
      </c>
      <c r="K12" s="233">
        <f t="shared" si="4"/>
        <v>486.86400000000003</v>
      </c>
      <c r="L12" s="232">
        <v>50</v>
      </c>
      <c r="M12" s="233">
        <f t="shared" si="1"/>
        <v>128.8</v>
      </c>
      <c r="N12" s="232">
        <v>5</v>
      </c>
      <c r="O12" s="235">
        <f t="shared" si="5"/>
        <v>12.88</v>
      </c>
      <c r="P12" s="232">
        <v>8</v>
      </c>
      <c r="Q12" s="233">
        <f t="shared" si="6"/>
        <v>21.344</v>
      </c>
      <c r="R12" s="231">
        <v>5</v>
      </c>
      <c r="S12" s="233">
        <f t="shared" si="7"/>
        <v>13.34</v>
      </c>
      <c r="T12" s="232">
        <v>50</v>
      </c>
      <c r="U12" s="233">
        <f t="shared" si="8"/>
        <v>133.4</v>
      </c>
      <c r="V12" s="232">
        <v>5</v>
      </c>
      <c r="W12" s="233">
        <f t="shared" si="9"/>
        <v>13.34</v>
      </c>
      <c r="X12" s="236">
        <v>44</v>
      </c>
      <c r="Y12" s="233">
        <f t="shared" si="10"/>
        <v>117.39200000000001</v>
      </c>
      <c r="Z12" s="237">
        <v>0</v>
      </c>
      <c r="AA12" s="233">
        <f t="shared" si="11"/>
        <v>0</v>
      </c>
    </row>
    <row r="13" spans="1:27" ht="15.75">
      <c r="A13" s="462" t="s">
        <v>230</v>
      </c>
      <c r="B13" s="463"/>
      <c r="C13" s="238">
        <f>SUM(C14:C19)</f>
        <v>447.63599999999997</v>
      </c>
      <c r="D13" s="238">
        <f>SUM(D14:D19)</f>
        <v>105.589</v>
      </c>
      <c r="E13" s="239">
        <f>SUM(E14:E19)</f>
        <v>459.13480000000004</v>
      </c>
      <c r="F13" s="232"/>
      <c r="G13" s="238">
        <f>SUM(G14:G19)</f>
        <v>56817.012</v>
      </c>
      <c r="H13" s="230"/>
      <c r="I13" s="240">
        <f>SUM(I14:I19)</f>
        <v>55069.33600000001</v>
      </c>
      <c r="J13" s="241"/>
      <c r="K13" s="240">
        <f>SUM(K14:K19)</f>
        <v>253809.61199999996</v>
      </c>
      <c r="L13" s="242"/>
      <c r="M13" s="240">
        <f>SUM(M14:M19)</f>
        <v>51478.139999999985</v>
      </c>
      <c r="N13" s="242"/>
      <c r="O13" s="243">
        <f>SUM(O14:O19)</f>
        <v>69383.58</v>
      </c>
      <c r="P13" s="242"/>
      <c r="Q13" s="240">
        <f>SUM(Q14:Q19)</f>
        <v>21801.6055</v>
      </c>
      <c r="R13" s="231"/>
      <c r="S13" s="240">
        <f>SUM(S14:S19)</f>
        <v>21647.050000000003</v>
      </c>
      <c r="T13" s="242"/>
      <c r="U13" s="240">
        <f aca="true" t="shared" si="12" ref="U13:AA13">SUM(U14:U19)</f>
        <v>4095.5249999999996</v>
      </c>
      <c r="V13" s="242"/>
      <c r="W13" s="240">
        <f t="shared" si="12"/>
        <v>3458.9025</v>
      </c>
      <c r="X13" s="244"/>
      <c r="Y13" s="240">
        <f t="shared" si="12"/>
        <v>4751.505</v>
      </c>
      <c r="Z13" s="242"/>
      <c r="AA13" s="240">
        <f t="shared" si="12"/>
        <v>2639.725</v>
      </c>
    </row>
    <row r="14" spans="1:27" ht="78.75">
      <c r="A14" s="217" t="s">
        <v>93</v>
      </c>
      <c r="B14" s="218" t="s">
        <v>94</v>
      </c>
      <c r="C14" s="230">
        <f>Расчет!AJ32</f>
        <v>326.53599999999994</v>
      </c>
      <c r="D14" s="230">
        <f>Расчет!AK32</f>
        <v>37.671</v>
      </c>
      <c r="E14" s="231">
        <f>Расчет!AL32</f>
        <v>314.32079999999996</v>
      </c>
      <c r="F14" s="232">
        <v>127</v>
      </c>
      <c r="G14" s="230">
        <f aca="true" t="shared" si="13" ref="G14:G19">F14*C14</f>
        <v>41470.07199999999</v>
      </c>
      <c r="H14" s="230">
        <v>120</v>
      </c>
      <c r="I14" s="233">
        <f t="shared" si="3"/>
        <v>37718.496</v>
      </c>
      <c r="J14" s="234">
        <v>567</v>
      </c>
      <c r="K14" s="233">
        <f t="shared" si="4"/>
        <v>185145.91199999998</v>
      </c>
      <c r="L14" s="232">
        <v>115</v>
      </c>
      <c r="M14" s="233">
        <f aca="true" t="shared" si="14" ref="M14:M19">C14*L14</f>
        <v>37551.63999999999</v>
      </c>
      <c r="N14" s="232">
        <v>155</v>
      </c>
      <c r="O14" s="235">
        <f t="shared" si="5"/>
        <v>50613.079999999994</v>
      </c>
      <c r="P14" s="232">
        <v>241</v>
      </c>
      <c r="Q14" s="233">
        <f t="shared" si="6"/>
        <v>9078.711</v>
      </c>
      <c r="R14" s="231">
        <v>390</v>
      </c>
      <c r="S14" s="233">
        <f t="shared" si="7"/>
        <v>14691.69</v>
      </c>
      <c r="T14" s="232">
        <v>50</v>
      </c>
      <c r="U14" s="233">
        <f t="shared" si="8"/>
        <v>1883.55</v>
      </c>
      <c r="V14" s="232">
        <v>45</v>
      </c>
      <c r="W14" s="233">
        <f t="shared" si="9"/>
        <v>1695.195</v>
      </c>
      <c r="X14" s="245">
        <v>45</v>
      </c>
      <c r="Y14" s="233">
        <f t="shared" si="10"/>
        <v>1695.195</v>
      </c>
      <c r="Z14" s="237">
        <v>25</v>
      </c>
      <c r="AA14" s="233">
        <f t="shared" si="11"/>
        <v>941.775</v>
      </c>
    </row>
    <row r="15" spans="1:27" ht="31.5">
      <c r="A15" s="217" t="s">
        <v>111</v>
      </c>
      <c r="B15" s="218" t="s">
        <v>112</v>
      </c>
      <c r="C15" s="230">
        <f>Расчет!AJ43</f>
        <v>0.28</v>
      </c>
      <c r="D15" s="230">
        <f>Расчет!AK43</f>
        <v>0.29000000000000004</v>
      </c>
      <c r="E15" s="231">
        <f>Расчет!AL43</f>
        <v>0.24400000000000002</v>
      </c>
      <c r="F15" s="232">
        <v>10</v>
      </c>
      <c r="G15" s="230">
        <f t="shared" si="13"/>
        <v>2.8000000000000003</v>
      </c>
      <c r="H15" s="230">
        <v>10</v>
      </c>
      <c r="I15" s="233">
        <f t="shared" si="3"/>
        <v>2.4400000000000004</v>
      </c>
      <c r="J15" s="234">
        <v>567</v>
      </c>
      <c r="K15" s="233">
        <f t="shared" si="4"/>
        <v>158.76000000000002</v>
      </c>
      <c r="L15" s="232">
        <v>115</v>
      </c>
      <c r="M15" s="233">
        <f t="shared" si="14"/>
        <v>32.2</v>
      </c>
      <c r="N15" s="232">
        <v>155</v>
      </c>
      <c r="O15" s="235">
        <f t="shared" si="5"/>
        <v>43.400000000000006</v>
      </c>
      <c r="P15" s="246">
        <v>0</v>
      </c>
      <c r="Q15" s="233">
        <f>P15*D15</f>
        <v>0</v>
      </c>
      <c r="R15" s="231">
        <v>300</v>
      </c>
      <c r="S15" s="233">
        <f t="shared" si="7"/>
        <v>87.00000000000001</v>
      </c>
      <c r="T15" s="232">
        <v>50</v>
      </c>
      <c r="U15" s="233">
        <f t="shared" si="8"/>
        <v>14.500000000000002</v>
      </c>
      <c r="V15" s="232">
        <v>45</v>
      </c>
      <c r="W15" s="233">
        <f t="shared" si="9"/>
        <v>13.05</v>
      </c>
      <c r="X15" s="245">
        <v>45</v>
      </c>
      <c r="Y15" s="233">
        <f t="shared" si="10"/>
        <v>13.05</v>
      </c>
      <c r="Z15" s="237">
        <v>25</v>
      </c>
      <c r="AA15" s="233">
        <f t="shared" si="11"/>
        <v>7.250000000000001</v>
      </c>
    </row>
    <row r="16" spans="1:27" ht="34.5" customHeight="1">
      <c r="A16" s="217" t="s">
        <v>116</v>
      </c>
      <c r="B16" s="218" t="s">
        <v>117</v>
      </c>
      <c r="C16" s="230">
        <f>Расчет!AJ45</f>
        <v>1.148</v>
      </c>
      <c r="D16" s="230">
        <f>Расчет!AK45</f>
        <v>1.189</v>
      </c>
      <c r="E16" s="231">
        <f>Расчет!AL45</f>
        <v>1.0004</v>
      </c>
      <c r="F16" s="232">
        <v>127</v>
      </c>
      <c r="G16" s="230">
        <f t="shared" si="13"/>
        <v>145.796</v>
      </c>
      <c r="H16" s="230">
        <v>120</v>
      </c>
      <c r="I16" s="233">
        <f t="shared" si="3"/>
        <v>120.048</v>
      </c>
      <c r="J16" s="234">
        <v>567</v>
      </c>
      <c r="K16" s="233">
        <f t="shared" si="4"/>
        <v>650.9159999999999</v>
      </c>
      <c r="L16" s="232">
        <v>115</v>
      </c>
      <c r="M16" s="233">
        <f t="shared" si="14"/>
        <v>132.01999999999998</v>
      </c>
      <c r="N16" s="232">
        <v>155</v>
      </c>
      <c r="O16" s="235">
        <f t="shared" si="5"/>
        <v>177.94</v>
      </c>
      <c r="P16" s="232">
        <v>241</v>
      </c>
      <c r="Q16" s="233">
        <f t="shared" si="6"/>
        <v>286.54900000000004</v>
      </c>
      <c r="R16" s="231">
        <v>390</v>
      </c>
      <c r="S16" s="233">
        <f t="shared" si="7"/>
        <v>463.71000000000004</v>
      </c>
      <c r="T16" s="232">
        <v>50</v>
      </c>
      <c r="U16" s="233">
        <f t="shared" si="8"/>
        <v>59.45</v>
      </c>
      <c r="V16" s="232">
        <v>45</v>
      </c>
      <c r="W16" s="233">
        <f t="shared" si="9"/>
        <v>53.505</v>
      </c>
      <c r="X16" s="245">
        <v>45</v>
      </c>
      <c r="Y16" s="233">
        <f t="shared" si="10"/>
        <v>53.505</v>
      </c>
      <c r="Z16" s="237">
        <v>25</v>
      </c>
      <c r="AA16" s="233">
        <f t="shared" si="11"/>
        <v>29.725</v>
      </c>
    </row>
    <row r="17" spans="1:27" ht="78.75">
      <c r="A17" s="217" t="s">
        <v>120</v>
      </c>
      <c r="B17" s="218" t="s">
        <v>121</v>
      </c>
      <c r="C17" s="230">
        <f>Расчет!AJ48</f>
        <v>5.362</v>
      </c>
      <c r="D17" s="230">
        <f>Расчет!AK48</f>
        <v>4.8865</v>
      </c>
      <c r="E17" s="231">
        <f>Расчет!AL48</f>
        <v>4.1114</v>
      </c>
      <c r="F17" s="232">
        <v>127</v>
      </c>
      <c r="G17" s="230">
        <f t="shared" si="13"/>
        <v>680.974</v>
      </c>
      <c r="H17" s="230">
        <v>120</v>
      </c>
      <c r="I17" s="233">
        <f t="shared" si="3"/>
        <v>493.36799999999994</v>
      </c>
      <c r="J17" s="234">
        <v>567</v>
      </c>
      <c r="K17" s="233">
        <f t="shared" si="4"/>
        <v>3040.254</v>
      </c>
      <c r="L17" s="232">
        <v>115</v>
      </c>
      <c r="M17" s="233">
        <f t="shared" si="14"/>
        <v>616.63</v>
      </c>
      <c r="N17" s="232">
        <v>155</v>
      </c>
      <c r="O17" s="235">
        <f t="shared" si="5"/>
        <v>831.11</v>
      </c>
      <c r="P17" s="232">
        <v>241</v>
      </c>
      <c r="Q17" s="233">
        <f t="shared" si="6"/>
        <v>1177.6465</v>
      </c>
      <c r="R17" s="231">
        <v>390</v>
      </c>
      <c r="S17" s="233">
        <f t="shared" si="7"/>
        <v>1905.735</v>
      </c>
      <c r="T17" s="232">
        <v>50</v>
      </c>
      <c r="U17" s="233">
        <f t="shared" si="8"/>
        <v>244.325</v>
      </c>
      <c r="V17" s="232">
        <v>45</v>
      </c>
      <c r="W17" s="233">
        <f t="shared" si="9"/>
        <v>219.89249999999998</v>
      </c>
      <c r="X17" s="245">
        <v>45</v>
      </c>
      <c r="Y17" s="233">
        <f t="shared" si="10"/>
        <v>219.89249999999998</v>
      </c>
      <c r="Z17" s="237">
        <v>25</v>
      </c>
      <c r="AA17" s="233">
        <f t="shared" si="11"/>
        <v>122.1625</v>
      </c>
    </row>
    <row r="18" spans="1:27" ht="31.5">
      <c r="A18" s="217" t="s">
        <v>128</v>
      </c>
      <c r="B18" s="218" t="s">
        <v>129</v>
      </c>
      <c r="C18" s="230">
        <f>Расчет!AJ53</f>
        <v>0</v>
      </c>
      <c r="D18" s="230">
        <f>Расчет!AK53</f>
        <v>37.874</v>
      </c>
      <c r="E18" s="231">
        <f>Расчет!AL53</f>
        <v>0</v>
      </c>
      <c r="F18" s="232">
        <v>0</v>
      </c>
      <c r="G18" s="230">
        <f t="shared" si="13"/>
        <v>0</v>
      </c>
      <c r="H18" s="230">
        <v>120</v>
      </c>
      <c r="I18" s="233">
        <f t="shared" si="3"/>
        <v>0</v>
      </c>
      <c r="J18" s="234"/>
      <c r="K18" s="233">
        <f t="shared" si="4"/>
        <v>0</v>
      </c>
      <c r="L18" s="232"/>
      <c r="M18" s="233">
        <f t="shared" si="14"/>
        <v>0</v>
      </c>
      <c r="N18" s="232">
        <v>155</v>
      </c>
      <c r="O18" s="235">
        <f t="shared" si="5"/>
        <v>0</v>
      </c>
      <c r="P18" s="232">
        <v>241</v>
      </c>
      <c r="Q18" s="233">
        <f t="shared" si="6"/>
        <v>9127.634</v>
      </c>
      <c r="R18" s="231">
        <v>0</v>
      </c>
      <c r="S18" s="233">
        <f t="shared" si="7"/>
        <v>0</v>
      </c>
      <c r="T18" s="232">
        <v>50</v>
      </c>
      <c r="U18" s="233">
        <f t="shared" si="8"/>
        <v>1893.7</v>
      </c>
      <c r="V18" s="232">
        <v>24</v>
      </c>
      <c r="W18" s="233">
        <f t="shared" si="9"/>
        <v>908.9760000000001</v>
      </c>
      <c r="X18" s="245">
        <v>45</v>
      </c>
      <c r="Y18" s="233">
        <f t="shared" si="10"/>
        <v>1704.3300000000002</v>
      </c>
      <c r="Z18" s="237">
        <v>25</v>
      </c>
      <c r="AA18" s="233">
        <f t="shared" si="11"/>
        <v>946.85</v>
      </c>
    </row>
    <row r="19" spans="1:27" ht="31.5">
      <c r="A19" s="217" t="s">
        <v>131</v>
      </c>
      <c r="B19" s="218" t="s">
        <v>132</v>
      </c>
      <c r="C19" s="230">
        <f>Расчет!AJ54</f>
        <v>114.31</v>
      </c>
      <c r="D19" s="230">
        <f>Расчет!AK54</f>
        <v>23.6785</v>
      </c>
      <c r="E19" s="231">
        <f>Расчет!AL54</f>
        <v>139.4582</v>
      </c>
      <c r="F19" s="232">
        <v>127</v>
      </c>
      <c r="G19" s="230">
        <f t="shared" si="13"/>
        <v>14517.37</v>
      </c>
      <c r="H19" s="230">
        <v>120</v>
      </c>
      <c r="I19" s="233">
        <f t="shared" si="3"/>
        <v>16734.984</v>
      </c>
      <c r="J19" s="234">
        <v>567</v>
      </c>
      <c r="K19" s="233">
        <f t="shared" si="4"/>
        <v>64813.770000000004</v>
      </c>
      <c r="L19" s="232">
        <v>115</v>
      </c>
      <c r="M19" s="233">
        <f t="shared" si="14"/>
        <v>13145.65</v>
      </c>
      <c r="N19" s="232">
        <v>155</v>
      </c>
      <c r="O19" s="235">
        <f t="shared" si="5"/>
        <v>17718.05</v>
      </c>
      <c r="P19" s="232">
        <v>90</v>
      </c>
      <c r="Q19" s="233">
        <f t="shared" si="6"/>
        <v>2131.065</v>
      </c>
      <c r="R19" s="231">
        <v>190</v>
      </c>
      <c r="S19" s="233">
        <f t="shared" si="7"/>
        <v>4498.915</v>
      </c>
      <c r="T19" s="232">
        <v>0</v>
      </c>
      <c r="U19" s="233">
        <f t="shared" si="8"/>
        <v>0</v>
      </c>
      <c r="V19" s="232">
        <v>24</v>
      </c>
      <c r="W19" s="233">
        <f t="shared" si="9"/>
        <v>568.284</v>
      </c>
      <c r="X19" s="245">
        <v>45</v>
      </c>
      <c r="Y19" s="233">
        <f t="shared" si="10"/>
        <v>1065.5325</v>
      </c>
      <c r="Z19" s="237">
        <v>25</v>
      </c>
      <c r="AA19" s="233">
        <f t="shared" si="11"/>
        <v>591.9625</v>
      </c>
    </row>
    <row r="20" spans="1:27" ht="15.75">
      <c r="A20" s="462" t="s">
        <v>231</v>
      </c>
      <c r="B20" s="463"/>
      <c r="C20" s="238">
        <f>SUM(C21:C22)</f>
        <v>8.33</v>
      </c>
      <c r="D20" s="238">
        <f>SUM(D21:D22)</f>
        <v>8.6275</v>
      </c>
      <c r="E20" s="239">
        <f>SUM(E21:E22)</f>
        <v>19.8128</v>
      </c>
      <c r="F20" s="232"/>
      <c r="G20" s="238">
        <f>SUM(G21:G22)</f>
        <v>1057.9099999999999</v>
      </c>
      <c r="H20" s="230"/>
      <c r="I20" s="240">
        <f>SUM(I21:I22)</f>
        <v>2377.536</v>
      </c>
      <c r="J20" s="241"/>
      <c r="K20" s="240">
        <f>SUM(K21:K22)</f>
        <v>4723.11</v>
      </c>
      <c r="L20" s="242"/>
      <c r="M20" s="240">
        <f>SUM(M21:M22)</f>
        <v>957.9499999999999</v>
      </c>
      <c r="N20" s="242"/>
      <c r="O20" s="243">
        <f>SUM(O21:O22)</f>
        <v>737.8</v>
      </c>
      <c r="P20" s="242"/>
      <c r="Q20" s="240">
        <f>SUM(Q21:Q22)</f>
        <v>2079.2275</v>
      </c>
      <c r="R20" s="231"/>
      <c r="S20" s="240">
        <f>SUM(S21:S22)</f>
        <v>3364.7249999999995</v>
      </c>
      <c r="T20" s="242"/>
      <c r="U20" s="240">
        <f aca="true" t="shared" si="15" ref="U20:AA20">SUM(U21:U22)</f>
        <v>431.375</v>
      </c>
      <c r="V20" s="242"/>
      <c r="W20" s="240">
        <f t="shared" si="15"/>
        <v>388.23749999999995</v>
      </c>
      <c r="X20" s="244"/>
      <c r="Y20" s="240">
        <f t="shared" si="15"/>
        <v>166.3875</v>
      </c>
      <c r="Z20" s="237"/>
      <c r="AA20" s="240">
        <f t="shared" si="15"/>
        <v>215.6875</v>
      </c>
    </row>
    <row r="21" spans="1:27" ht="31.5">
      <c r="A21" s="217" t="s">
        <v>136</v>
      </c>
      <c r="B21" s="218" t="s">
        <v>137</v>
      </c>
      <c r="C21" s="230">
        <f>Расчет!AJ56</f>
        <v>3.57</v>
      </c>
      <c r="D21" s="230">
        <f>Расчет!AK56</f>
        <v>3.6975</v>
      </c>
      <c r="E21" s="231">
        <f>Расчет!AL56</f>
        <v>3.1109999999999998</v>
      </c>
      <c r="F21" s="232">
        <v>127</v>
      </c>
      <c r="G21" s="230">
        <f>F21*C21</f>
        <v>453.39</v>
      </c>
      <c r="H21" s="230">
        <v>120</v>
      </c>
      <c r="I21" s="233">
        <f t="shared" si="3"/>
        <v>373.32</v>
      </c>
      <c r="J21" s="247">
        <v>567</v>
      </c>
      <c r="K21" s="233">
        <f t="shared" si="4"/>
        <v>2024.1899999999998</v>
      </c>
      <c r="L21" s="248">
        <v>115</v>
      </c>
      <c r="M21" s="233">
        <f>C21*L21</f>
        <v>410.54999999999995</v>
      </c>
      <c r="N21" s="232">
        <v>0</v>
      </c>
      <c r="O21" s="235">
        <f t="shared" si="5"/>
        <v>0</v>
      </c>
      <c r="P21" s="232">
        <v>241</v>
      </c>
      <c r="Q21" s="233">
        <f t="shared" si="6"/>
        <v>891.0975</v>
      </c>
      <c r="R21" s="231">
        <v>390</v>
      </c>
      <c r="S21" s="233">
        <f t="shared" si="7"/>
        <v>1442.0249999999999</v>
      </c>
      <c r="T21" s="231">
        <v>50</v>
      </c>
      <c r="U21" s="233">
        <f t="shared" si="8"/>
        <v>184.875</v>
      </c>
      <c r="V21" s="232">
        <v>45</v>
      </c>
      <c r="W21" s="233">
        <f t="shared" si="9"/>
        <v>166.3875</v>
      </c>
      <c r="X21" s="245">
        <v>45</v>
      </c>
      <c r="Y21" s="233">
        <f t="shared" si="10"/>
        <v>166.3875</v>
      </c>
      <c r="Z21" s="237">
        <v>25</v>
      </c>
      <c r="AA21" s="233">
        <f t="shared" si="11"/>
        <v>92.4375</v>
      </c>
    </row>
    <row r="22" spans="1:27" ht="15.75">
      <c r="A22" s="217" t="s">
        <v>141</v>
      </c>
      <c r="B22" s="218" t="s">
        <v>142</v>
      </c>
      <c r="C22" s="230">
        <f>Расчет!AJ57</f>
        <v>4.76</v>
      </c>
      <c r="D22" s="230">
        <f>Расчет!AK57</f>
        <v>4.93</v>
      </c>
      <c r="E22" s="231">
        <f>Расчет!AL57</f>
        <v>16.7018</v>
      </c>
      <c r="F22" s="232">
        <v>127</v>
      </c>
      <c r="G22" s="230">
        <f>F22*C22</f>
        <v>604.52</v>
      </c>
      <c r="H22" s="230">
        <v>120</v>
      </c>
      <c r="I22" s="233">
        <f t="shared" si="3"/>
        <v>2004.216</v>
      </c>
      <c r="J22" s="247">
        <v>567</v>
      </c>
      <c r="K22" s="233">
        <f t="shared" si="4"/>
        <v>2698.92</v>
      </c>
      <c r="L22" s="248">
        <v>115</v>
      </c>
      <c r="M22" s="233">
        <f>C22*L22</f>
        <v>547.4</v>
      </c>
      <c r="N22" s="232">
        <v>155</v>
      </c>
      <c r="O22" s="235">
        <f t="shared" si="5"/>
        <v>737.8</v>
      </c>
      <c r="P22" s="232">
        <v>241</v>
      </c>
      <c r="Q22" s="233">
        <f t="shared" si="6"/>
        <v>1188.1299999999999</v>
      </c>
      <c r="R22" s="231">
        <v>390</v>
      </c>
      <c r="S22" s="233">
        <f t="shared" si="7"/>
        <v>1922.6999999999998</v>
      </c>
      <c r="T22" s="231">
        <v>50</v>
      </c>
      <c r="U22" s="233">
        <f t="shared" si="8"/>
        <v>246.5</v>
      </c>
      <c r="V22" s="232">
        <v>45</v>
      </c>
      <c r="W22" s="233">
        <f t="shared" si="9"/>
        <v>221.85</v>
      </c>
      <c r="X22" s="245">
        <v>0</v>
      </c>
      <c r="Y22" s="233">
        <f t="shared" si="10"/>
        <v>0</v>
      </c>
      <c r="Z22" s="237">
        <v>25</v>
      </c>
      <c r="AA22" s="233">
        <f t="shared" si="11"/>
        <v>123.25</v>
      </c>
    </row>
    <row r="23" spans="1:27" ht="15.75">
      <c r="A23" s="462" t="s">
        <v>232</v>
      </c>
      <c r="B23" s="463"/>
      <c r="C23" s="238">
        <f>SUM(C24:C26)</f>
        <v>33.053999999999995</v>
      </c>
      <c r="D23" s="238">
        <f>SUM(D24:D26)</f>
        <v>17.3275</v>
      </c>
      <c r="E23" s="239">
        <f>SUM(E24:E26)</f>
        <v>229.44539999999998</v>
      </c>
      <c r="F23" s="232"/>
      <c r="G23" s="238">
        <f>SUM(G24:G26)</f>
        <v>4007.4579999999996</v>
      </c>
      <c r="H23" s="230"/>
      <c r="I23" s="240">
        <f>SUM(I24:I26)</f>
        <v>27533.447999999997</v>
      </c>
      <c r="J23" s="241"/>
      <c r="K23" s="240">
        <f>SUM(K24:K26)</f>
        <v>7945.937999999999</v>
      </c>
      <c r="L23" s="242"/>
      <c r="M23" s="240">
        <f>SUM(M24:M26)</f>
        <v>3725.0499999999997</v>
      </c>
      <c r="N23" s="242"/>
      <c r="O23" s="243">
        <f>SUM(O24:O26)</f>
        <v>1891.8899999999999</v>
      </c>
      <c r="P23" s="242"/>
      <c r="Q23" s="240">
        <f>SUM(Q24:Q26)</f>
        <v>3581.8625</v>
      </c>
      <c r="R23" s="231"/>
      <c r="S23" s="240">
        <f>SUM(S24:S26)</f>
        <v>1435.239</v>
      </c>
      <c r="T23" s="242"/>
      <c r="U23" s="240">
        <f aca="true" t="shared" si="16" ref="U23:AA23">SUM(U24:U26)</f>
        <v>719.809</v>
      </c>
      <c r="V23" s="242"/>
      <c r="W23" s="240">
        <f t="shared" si="16"/>
        <v>505.6005</v>
      </c>
      <c r="X23" s="244"/>
      <c r="Y23" s="240">
        <f t="shared" si="16"/>
        <v>779.7375</v>
      </c>
      <c r="Z23" s="237"/>
      <c r="AA23" s="240">
        <f t="shared" si="16"/>
        <v>433.1875</v>
      </c>
    </row>
    <row r="24" spans="1:27" ht="31.5">
      <c r="A24" s="217" t="s">
        <v>146</v>
      </c>
      <c r="B24" s="218" t="s">
        <v>147</v>
      </c>
      <c r="C24" s="230">
        <f>Расчет!AJ59</f>
        <v>19.04</v>
      </c>
      <c r="D24" s="230">
        <f>Расчет!AK59</f>
        <v>2.465</v>
      </c>
      <c r="E24" s="231">
        <f>Расчет!AL59</f>
        <v>86.315</v>
      </c>
      <c r="F24" s="232">
        <v>117</v>
      </c>
      <c r="G24" s="230">
        <f>F24*C24</f>
        <v>2227.68</v>
      </c>
      <c r="H24" s="230">
        <v>120</v>
      </c>
      <c r="I24" s="233">
        <f t="shared" si="3"/>
        <v>10357.8</v>
      </c>
      <c r="J24" s="234">
        <v>0</v>
      </c>
      <c r="K24" s="233">
        <f t="shared" si="4"/>
        <v>0</v>
      </c>
      <c r="L24" s="232">
        <v>111</v>
      </c>
      <c r="M24" s="233">
        <f>C24*L24</f>
        <v>2113.44</v>
      </c>
      <c r="N24" s="232">
        <v>0</v>
      </c>
      <c r="O24" s="235">
        <f t="shared" si="5"/>
        <v>0</v>
      </c>
      <c r="P24" s="232">
        <v>0</v>
      </c>
      <c r="Q24" s="233">
        <f t="shared" si="6"/>
        <v>0</v>
      </c>
      <c r="R24" s="231">
        <v>0</v>
      </c>
      <c r="S24" s="233">
        <f t="shared" si="7"/>
        <v>0</v>
      </c>
      <c r="T24" s="231">
        <v>0</v>
      </c>
      <c r="U24" s="233">
        <f t="shared" si="8"/>
        <v>0</v>
      </c>
      <c r="V24" s="232">
        <v>0</v>
      </c>
      <c r="W24" s="233">
        <f t="shared" si="9"/>
        <v>0</v>
      </c>
      <c r="X24" s="245">
        <v>45</v>
      </c>
      <c r="Y24" s="233">
        <f t="shared" si="10"/>
        <v>110.925</v>
      </c>
      <c r="Z24" s="237">
        <v>25</v>
      </c>
      <c r="AA24" s="233">
        <f t="shared" si="11"/>
        <v>61.625</v>
      </c>
    </row>
    <row r="25" spans="1:27" ht="31.5">
      <c r="A25" s="217" t="s">
        <v>153</v>
      </c>
      <c r="B25" s="218" t="s">
        <v>154</v>
      </c>
      <c r="C25" s="230">
        <f>Расчет!AJ62</f>
        <v>6.677999999999999</v>
      </c>
      <c r="D25" s="230">
        <f>Расчет!AK62</f>
        <v>7.0905</v>
      </c>
      <c r="E25" s="231">
        <f>Расчет!AL62</f>
        <v>92.5492</v>
      </c>
      <c r="F25" s="232">
        <v>127</v>
      </c>
      <c r="G25" s="230">
        <f aca="true" t="shared" si="17" ref="G25:G39">F25*C25</f>
        <v>848.1059999999999</v>
      </c>
      <c r="H25" s="230">
        <v>120</v>
      </c>
      <c r="I25" s="233">
        <f t="shared" si="3"/>
        <v>11105.904</v>
      </c>
      <c r="J25" s="247">
        <v>567</v>
      </c>
      <c r="K25" s="233">
        <f t="shared" si="4"/>
        <v>3786.4259999999995</v>
      </c>
      <c r="L25" s="249">
        <v>115</v>
      </c>
      <c r="M25" s="233">
        <f>C25*L25</f>
        <v>767.9699999999999</v>
      </c>
      <c r="N25" s="232">
        <v>135</v>
      </c>
      <c r="O25" s="235">
        <f t="shared" si="5"/>
        <v>901.5299999999999</v>
      </c>
      <c r="P25" s="232">
        <v>241</v>
      </c>
      <c r="Q25" s="233">
        <f t="shared" si="6"/>
        <v>1708.8104999999998</v>
      </c>
      <c r="R25" s="231">
        <v>38</v>
      </c>
      <c r="S25" s="233">
        <f t="shared" si="7"/>
        <v>269.43899999999996</v>
      </c>
      <c r="T25" s="231">
        <v>50</v>
      </c>
      <c r="U25" s="233">
        <f t="shared" si="8"/>
        <v>354.525</v>
      </c>
      <c r="V25" s="232">
        <v>45</v>
      </c>
      <c r="W25" s="233">
        <f t="shared" si="9"/>
        <v>319.0725</v>
      </c>
      <c r="X25" s="245">
        <v>45</v>
      </c>
      <c r="Y25" s="233">
        <f t="shared" si="10"/>
        <v>319.0725</v>
      </c>
      <c r="Z25" s="237">
        <v>25</v>
      </c>
      <c r="AA25" s="233">
        <f t="shared" si="11"/>
        <v>177.2625</v>
      </c>
    </row>
    <row r="26" spans="1:27" ht="31.5">
      <c r="A26" s="217" t="s">
        <v>158</v>
      </c>
      <c r="B26" s="218" t="s">
        <v>159</v>
      </c>
      <c r="C26" s="230">
        <f>Расчет!AJ63</f>
        <v>7.336</v>
      </c>
      <c r="D26" s="230">
        <f>Расчет!AK63</f>
        <v>7.772</v>
      </c>
      <c r="E26" s="231">
        <f>Расчет!AL63</f>
        <v>50.5812</v>
      </c>
      <c r="F26" s="232">
        <v>127</v>
      </c>
      <c r="G26" s="230">
        <f t="shared" si="17"/>
        <v>931.672</v>
      </c>
      <c r="H26" s="230">
        <v>120</v>
      </c>
      <c r="I26" s="233">
        <f t="shared" si="3"/>
        <v>6069.744000000001</v>
      </c>
      <c r="J26" s="247">
        <v>567</v>
      </c>
      <c r="K26" s="233">
        <f t="shared" si="4"/>
        <v>4159.512</v>
      </c>
      <c r="L26" s="249">
        <v>115</v>
      </c>
      <c r="M26" s="233">
        <f>C26*L26</f>
        <v>843.64</v>
      </c>
      <c r="N26" s="232">
        <v>135</v>
      </c>
      <c r="O26" s="235">
        <f t="shared" si="5"/>
        <v>990.36</v>
      </c>
      <c r="P26" s="232">
        <v>241</v>
      </c>
      <c r="Q26" s="233">
        <f t="shared" si="6"/>
        <v>1873.0520000000001</v>
      </c>
      <c r="R26" s="231">
        <v>150</v>
      </c>
      <c r="S26" s="233">
        <f t="shared" si="7"/>
        <v>1165.8</v>
      </c>
      <c r="T26" s="231">
        <v>47</v>
      </c>
      <c r="U26" s="233">
        <f t="shared" si="8"/>
        <v>365.284</v>
      </c>
      <c r="V26" s="232">
        <v>24</v>
      </c>
      <c r="W26" s="233">
        <f t="shared" si="9"/>
        <v>186.52800000000002</v>
      </c>
      <c r="X26" s="245">
        <v>45</v>
      </c>
      <c r="Y26" s="233">
        <f t="shared" si="10"/>
        <v>349.74</v>
      </c>
      <c r="Z26" s="237">
        <v>25</v>
      </c>
      <c r="AA26" s="233">
        <f t="shared" si="11"/>
        <v>194.3</v>
      </c>
    </row>
    <row r="27" spans="1:27" ht="15.75">
      <c r="A27" s="462" t="s">
        <v>161</v>
      </c>
      <c r="B27" s="463"/>
      <c r="C27" s="238">
        <f>SUM(C28:C30)</f>
        <v>50.4</v>
      </c>
      <c r="D27" s="238">
        <f>SUM(D28:D30)</f>
        <v>64.4525</v>
      </c>
      <c r="E27" s="239">
        <f>SUM(E28:E30)</f>
        <v>469.6146</v>
      </c>
      <c r="F27" s="242"/>
      <c r="G27" s="238">
        <f>SUM(G28:G30)</f>
        <v>4737.599999999999</v>
      </c>
      <c r="H27" s="230"/>
      <c r="I27" s="240">
        <f>SUM(I28:I30)</f>
        <v>51964.191999999995</v>
      </c>
      <c r="J27" s="241"/>
      <c r="K27" s="240">
        <f>SUM(K28:K30)</f>
        <v>0</v>
      </c>
      <c r="L27" s="242"/>
      <c r="M27" s="240">
        <f>SUM(M28:M30)</f>
        <v>5594.4</v>
      </c>
      <c r="N27" s="242"/>
      <c r="O27" s="243">
        <f>SUM(O28:O30)</f>
        <v>504</v>
      </c>
      <c r="P27" s="242"/>
      <c r="Q27" s="240">
        <f>SUM(Q28:Q30)</f>
        <v>3060.2250000000004</v>
      </c>
      <c r="R27" s="231"/>
      <c r="S27" s="240">
        <f>SUM(S28:S30)</f>
        <v>495.90000000000003</v>
      </c>
      <c r="T27" s="242"/>
      <c r="U27" s="240">
        <f aca="true" t="shared" si="18" ref="U27:AA27">SUM(U28:U30)</f>
        <v>443.70000000000005</v>
      </c>
      <c r="V27" s="242"/>
      <c r="W27" s="240">
        <f t="shared" si="18"/>
        <v>313.20000000000005</v>
      </c>
      <c r="X27" s="244"/>
      <c r="Y27" s="240">
        <f t="shared" si="18"/>
        <v>587.25</v>
      </c>
      <c r="Z27" s="237"/>
      <c r="AA27" s="240">
        <f t="shared" si="18"/>
        <v>326.25</v>
      </c>
    </row>
    <row r="28" spans="1:27" ht="47.25">
      <c r="A28" s="217" t="s">
        <v>162</v>
      </c>
      <c r="B28" s="218" t="s">
        <v>163</v>
      </c>
      <c r="C28" s="230">
        <f>Расчет!AJ65</f>
        <v>50.4</v>
      </c>
      <c r="D28" s="230">
        <f>Расчет!AK65</f>
        <v>13.05</v>
      </c>
      <c r="E28" s="231">
        <f>Расчет!AL65</f>
        <v>62.708</v>
      </c>
      <c r="F28" s="232">
        <v>94</v>
      </c>
      <c r="G28" s="230">
        <f t="shared" si="17"/>
        <v>4737.599999999999</v>
      </c>
      <c r="H28" s="230">
        <v>50</v>
      </c>
      <c r="I28" s="233">
        <f t="shared" si="3"/>
        <v>3135.4</v>
      </c>
      <c r="J28" s="249">
        <v>0</v>
      </c>
      <c r="K28" s="233">
        <f>C28*J28</f>
        <v>0</v>
      </c>
      <c r="L28" s="232">
        <v>111</v>
      </c>
      <c r="M28" s="233">
        <f>C28*L28</f>
        <v>5594.4</v>
      </c>
      <c r="N28" s="232">
        <v>10</v>
      </c>
      <c r="O28" s="235">
        <f t="shared" si="5"/>
        <v>504</v>
      </c>
      <c r="P28" s="232">
        <v>41</v>
      </c>
      <c r="Q28" s="233">
        <f t="shared" si="6"/>
        <v>535.0500000000001</v>
      </c>
      <c r="R28" s="231">
        <v>29</v>
      </c>
      <c r="S28" s="233">
        <f t="shared" si="7"/>
        <v>378.45000000000005</v>
      </c>
      <c r="T28" s="231">
        <v>34</v>
      </c>
      <c r="U28" s="233">
        <f t="shared" si="8"/>
        <v>443.70000000000005</v>
      </c>
      <c r="V28" s="232">
        <v>24</v>
      </c>
      <c r="W28" s="233">
        <f t="shared" si="9"/>
        <v>313.20000000000005</v>
      </c>
      <c r="X28" s="236">
        <v>45</v>
      </c>
      <c r="Y28" s="233">
        <f t="shared" si="10"/>
        <v>587.25</v>
      </c>
      <c r="Z28" s="237">
        <v>25</v>
      </c>
      <c r="AA28" s="233">
        <f t="shared" si="11"/>
        <v>326.25</v>
      </c>
    </row>
    <row r="29" spans="1:27" ht="15.75">
      <c r="A29" s="217" t="s">
        <v>166</v>
      </c>
      <c r="B29" s="218" t="s">
        <v>167</v>
      </c>
      <c r="C29" s="230">
        <f>Расчет!AJ66</f>
        <v>0</v>
      </c>
      <c r="D29" s="230">
        <f>Расчет!AK66</f>
        <v>29.3625</v>
      </c>
      <c r="E29" s="231">
        <f>Расчет!AL66</f>
        <v>0</v>
      </c>
      <c r="F29" s="232">
        <v>0</v>
      </c>
      <c r="G29" s="230">
        <f t="shared" si="17"/>
        <v>0</v>
      </c>
      <c r="H29" s="230">
        <v>0</v>
      </c>
      <c r="I29" s="233">
        <f t="shared" si="3"/>
        <v>0</v>
      </c>
      <c r="J29" s="234">
        <v>0</v>
      </c>
      <c r="K29" s="233">
        <f t="shared" si="4"/>
        <v>0</v>
      </c>
      <c r="L29" s="232">
        <v>0</v>
      </c>
      <c r="M29" s="233">
        <f>C29*L29</f>
        <v>0</v>
      </c>
      <c r="N29" s="232">
        <v>0</v>
      </c>
      <c r="O29" s="235">
        <f t="shared" si="5"/>
        <v>0</v>
      </c>
      <c r="P29" s="232">
        <v>86</v>
      </c>
      <c r="Q29" s="233">
        <f t="shared" si="6"/>
        <v>2525.175</v>
      </c>
      <c r="R29" s="231">
        <v>4</v>
      </c>
      <c r="S29" s="233">
        <f t="shared" si="7"/>
        <v>117.45</v>
      </c>
      <c r="T29" s="232">
        <v>0</v>
      </c>
      <c r="U29" s="233">
        <f t="shared" si="8"/>
        <v>0</v>
      </c>
      <c r="V29" s="232">
        <v>0</v>
      </c>
      <c r="W29" s="233">
        <f t="shared" si="9"/>
        <v>0</v>
      </c>
      <c r="X29" s="236">
        <v>0</v>
      </c>
      <c r="Y29" s="233">
        <f t="shared" si="10"/>
        <v>0</v>
      </c>
      <c r="Z29" s="237">
        <v>0</v>
      </c>
      <c r="AA29" s="233">
        <f t="shared" si="11"/>
        <v>0</v>
      </c>
    </row>
    <row r="30" spans="1:27" ht="45" customHeight="1">
      <c r="A30" s="217" t="s">
        <v>169</v>
      </c>
      <c r="B30" s="218" t="s">
        <v>170</v>
      </c>
      <c r="C30" s="230">
        <f>Расчет!AJ67</f>
        <v>0</v>
      </c>
      <c r="D30" s="230">
        <f>Расчет!AK67</f>
        <v>22.04</v>
      </c>
      <c r="E30" s="231">
        <f>Расчет!AL67</f>
        <v>406.90659999999997</v>
      </c>
      <c r="F30" s="232">
        <v>0</v>
      </c>
      <c r="G30" s="230">
        <f t="shared" si="17"/>
        <v>0</v>
      </c>
      <c r="H30" s="230">
        <v>120</v>
      </c>
      <c r="I30" s="233">
        <f t="shared" si="3"/>
        <v>48828.791999999994</v>
      </c>
      <c r="J30" s="234">
        <v>0</v>
      </c>
      <c r="K30" s="233">
        <f>C30*J30</f>
        <v>0</v>
      </c>
      <c r="L30" s="232">
        <v>0</v>
      </c>
      <c r="M30" s="233">
        <f>C30*L30</f>
        <v>0</v>
      </c>
      <c r="N30" s="232">
        <v>0</v>
      </c>
      <c r="O30" s="235">
        <f t="shared" si="5"/>
        <v>0</v>
      </c>
      <c r="P30" s="232">
        <v>0</v>
      </c>
      <c r="Q30" s="233">
        <f t="shared" si="6"/>
        <v>0</v>
      </c>
      <c r="R30" s="231">
        <v>0</v>
      </c>
      <c r="S30" s="233">
        <f t="shared" si="7"/>
        <v>0</v>
      </c>
      <c r="T30" s="232">
        <v>0</v>
      </c>
      <c r="U30" s="233">
        <f t="shared" si="8"/>
        <v>0</v>
      </c>
      <c r="V30" s="232">
        <v>0</v>
      </c>
      <c r="W30" s="233">
        <f t="shared" si="9"/>
        <v>0</v>
      </c>
      <c r="X30" s="236">
        <v>0</v>
      </c>
      <c r="Y30" s="233">
        <f t="shared" si="10"/>
        <v>0</v>
      </c>
      <c r="Z30" s="237">
        <v>0</v>
      </c>
      <c r="AA30" s="233">
        <f t="shared" si="11"/>
        <v>0</v>
      </c>
    </row>
    <row r="31" spans="1:27" ht="15.75">
      <c r="A31" s="462" t="s">
        <v>175</v>
      </c>
      <c r="B31" s="463"/>
      <c r="C31" s="238">
        <f>SUM(C32:C34)</f>
        <v>3.4299999999999997</v>
      </c>
      <c r="D31" s="238">
        <f aca="true" t="shared" si="19" ref="D31:AA31">SUM(D32:D34)</f>
        <v>2.8855000000000004</v>
      </c>
      <c r="E31" s="239">
        <f t="shared" si="19"/>
        <v>1.8666</v>
      </c>
      <c r="F31" s="242"/>
      <c r="G31" s="238">
        <f t="shared" si="19"/>
        <v>272.034</v>
      </c>
      <c r="H31" s="230"/>
      <c r="I31" s="240">
        <f t="shared" si="19"/>
        <v>223.99200000000002</v>
      </c>
      <c r="J31" s="241"/>
      <c r="K31" s="240">
        <f t="shared" si="19"/>
        <v>1944.81</v>
      </c>
      <c r="L31" s="242"/>
      <c r="M31" s="240">
        <f t="shared" si="19"/>
        <v>394.45</v>
      </c>
      <c r="N31" s="242"/>
      <c r="O31" s="243">
        <f t="shared" si="19"/>
        <v>531.65</v>
      </c>
      <c r="P31" s="242"/>
      <c r="Q31" s="240">
        <f t="shared" si="19"/>
        <v>695.4055000000001</v>
      </c>
      <c r="R31" s="231"/>
      <c r="S31" s="240">
        <f t="shared" si="19"/>
        <v>446.7595</v>
      </c>
      <c r="T31" s="242"/>
      <c r="U31" s="240">
        <f t="shared" si="19"/>
        <v>144.27499999999998</v>
      </c>
      <c r="V31" s="242"/>
      <c r="W31" s="240">
        <f t="shared" si="19"/>
        <v>129.8475</v>
      </c>
      <c r="X31" s="244"/>
      <c r="Y31" s="240">
        <f t="shared" si="19"/>
        <v>86.7825</v>
      </c>
      <c r="Z31" s="237"/>
      <c r="AA31" s="240">
        <f t="shared" si="19"/>
        <v>23.925</v>
      </c>
    </row>
    <row r="32" spans="1:27" ht="31.5">
      <c r="A32" s="217" t="s">
        <v>176</v>
      </c>
      <c r="B32" s="218" t="s">
        <v>177</v>
      </c>
      <c r="C32" s="230">
        <f>Расчет!AJ71</f>
        <v>0.924</v>
      </c>
      <c r="D32" s="230">
        <f>Расчет!AK71</f>
        <v>0.9570000000000001</v>
      </c>
      <c r="E32" s="231">
        <f>Расчет!AL71</f>
        <v>0.8052</v>
      </c>
      <c r="F32" s="232">
        <v>127</v>
      </c>
      <c r="G32" s="230">
        <f t="shared" si="17"/>
        <v>117.348</v>
      </c>
      <c r="H32" s="230">
        <v>120</v>
      </c>
      <c r="I32" s="233">
        <f t="shared" si="3"/>
        <v>96.62400000000001</v>
      </c>
      <c r="J32" s="250">
        <v>567</v>
      </c>
      <c r="K32" s="233">
        <f>C32*J32</f>
        <v>523.908</v>
      </c>
      <c r="L32" s="232">
        <v>115</v>
      </c>
      <c r="M32" s="233">
        <f>C32*L32</f>
        <v>106.26</v>
      </c>
      <c r="N32" s="232">
        <v>155</v>
      </c>
      <c r="O32" s="235">
        <f t="shared" si="5"/>
        <v>143.22</v>
      </c>
      <c r="P32" s="232">
        <v>241</v>
      </c>
      <c r="Q32" s="233">
        <f t="shared" si="6"/>
        <v>230.63700000000003</v>
      </c>
      <c r="R32" s="231">
        <v>390</v>
      </c>
      <c r="S32" s="233">
        <f t="shared" si="7"/>
        <v>373.23</v>
      </c>
      <c r="T32" s="231">
        <v>50</v>
      </c>
      <c r="U32" s="233">
        <f t="shared" si="8"/>
        <v>47.85</v>
      </c>
      <c r="V32" s="232">
        <v>45</v>
      </c>
      <c r="W32" s="233">
        <f t="shared" si="9"/>
        <v>43.065000000000005</v>
      </c>
      <c r="X32" s="236">
        <v>0</v>
      </c>
      <c r="Y32" s="233">
        <f t="shared" si="10"/>
        <v>0</v>
      </c>
      <c r="Z32" s="237">
        <v>25</v>
      </c>
      <c r="AA32" s="233">
        <f t="shared" si="11"/>
        <v>23.925</v>
      </c>
    </row>
    <row r="33" spans="1:27" ht="31.5">
      <c r="A33" s="217" t="s">
        <v>179</v>
      </c>
      <c r="B33" s="218" t="s">
        <v>180</v>
      </c>
      <c r="C33" s="230">
        <f>Расчет!AJ72</f>
        <v>1.2879999999999998</v>
      </c>
      <c r="D33" s="230">
        <f>Расчет!AK72</f>
        <v>0.6669999999999999</v>
      </c>
      <c r="E33" s="231">
        <f>Расчет!AL72</f>
        <v>0</v>
      </c>
      <c r="F33" s="232">
        <v>0</v>
      </c>
      <c r="G33" s="230">
        <f t="shared" si="17"/>
        <v>0</v>
      </c>
      <c r="H33" s="230">
        <v>0</v>
      </c>
      <c r="I33" s="233">
        <f t="shared" si="3"/>
        <v>0</v>
      </c>
      <c r="J33" s="251">
        <v>567</v>
      </c>
      <c r="K33" s="233">
        <f>C33*J33</f>
        <v>730.2959999999999</v>
      </c>
      <c r="L33" s="232">
        <v>115</v>
      </c>
      <c r="M33" s="233">
        <f>C33*L33</f>
        <v>148.11999999999998</v>
      </c>
      <c r="N33" s="232">
        <v>155</v>
      </c>
      <c r="O33" s="235">
        <f t="shared" si="5"/>
        <v>199.63999999999996</v>
      </c>
      <c r="P33" s="232">
        <v>241</v>
      </c>
      <c r="Q33" s="233">
        <f t="shared" si="6"/>
        <v>160.74699999999999</v>
      </c>
      <c r="R33" s="231">
        <v>97</v>
      </c>
      <c r="S33" s="233">
        <f t="shared" si="7"/>
        <v>64.699</v>
      </c>
      <c r="T33" s="231">
        <v>50</v>
      </c>
      <c r="U33" s="233">
        <f t="shared" si="8"/>
        <v>33.349999999999994</v>
      </c>
      <c r="V33" s="232">
        <v>45</v>
      </c>
      <c r="W33" s="233">
        <f t="shared" si="9"/>
        <v>30.014999999999997</v>
      </c>
      <c r="X33" s="236">
        <v>45</v>
      </c>
      <c r="Y33" s="233">
        <f t="shared" si="10"/>
        <v>30.014999999999997</v>
      </c>
      <c r="Z33" s="237">
        <v>0</v>
      </c>
      <c r="AA33" s="233">
        <f t="shared" si="11"/>
        <v>0</v>
      </c>
    </row>
    <row r="34" spans="1:27" ht="47.25">
      <c r="A34" s="217" t="s">
        <v>183</v>
      </c>
      <c r="B34" s="218" t="s">
        <v>184</v>
      </c>
      <c r="C34" s="230">
        <f>Расчет!AJ73</f>
        <v>1.218</v>
      </c>
      <c r="D34" s="230">
        <f>Расчет!AK73</f>
        <v>1.2615</v>
      </c>
      <c r="E34" s="231">
        <f>Расчет!AL73</f>
        <v>1.0614</v>
      </c>
      <c r="F34" s="232">
        <v>127</v>
      </c>
      <c r="G34" s="230">
        <f t="shared" si="17"/>
        <v>154.686</v>
      </c>
      <c r="H34" s="230">
        <v>120</v>
      </c>
      <c r="I34" s="233">
        <f t="shared" si="3"/>
        <v>127.368</v>
      </c>
      <c r="J34" s="249">
        <v>567</v>
      </c>
      <c r="K34" s="233">
        <f>C34*J34</f>
        <v>690.606</v>
      </c>
      <c r="L34" s="232">
        <v>115</v>
      </c>
      <c r="M34" s="233">
        <f>C34*L34</f>
        <v>140.07</v>
      </c>
      <c r="N34" s="232">
        <v>155</v>
      </c>
      <c r="O34" s="235">
        <f t="shared" si="5"/>
        <v>188.79</v>
      </c>
      <c r="P34" s="232">
        <v>241</v>
      </c>
      <c r="Q34" s="233">
        <f t="shared" si="6"/>
        <v>304.0215</v>
      </c>
      <c r="R34" s="231">
        <v>7</v>
      </c>
      <c r="S34" s="233">
        <f t="shared" si="7"/>
        <v>8.8305</v>
      </c>
      <c r="T34" s="231">
        <v>50</v>
      </c>
      <c r="U34" s="233">
        <f t="shared" si="8"/>
        <v>63.075</v>
      </c>
      <c r="V34" s="232">
        <v>45</v>
      </c>
      <c r="W34" s="233">
        <f t="shared" si="9"/>
        <v>56.767500000000005</v>
      </c>
      <c r="X34" s="236">
        <v>45</v>
      </c>
      <c r="Y34" s="233">
        <f t="shared" si="10"/>
        <v>56.767500000000005</v>
      </c>
      <c r="Z34" s="237">
        <v>0</v>
      </c>
      <c r="AA34" s="233">
        <f t="shared" si="11"/>
        <v>0</v>
      </c>
    </row>
    <row r="35" spans="1:27" ht="44.25" customHeight="1">
      <c r="A35" s="462" t="s">
        <v>187</v>
      </c>
      <c r="B35" s="463"/>
      <c r="C35" s="238">
        <f>SUM(C36:C39)</f>
        <v>160.258</v>
      </c>
      <c r="D35" s="238">
        <f aca="true" t="shared" si="20" ref="D35:AA35">SUM(D36:D39)</f>
        <v>18.009</v>
      </c>
      <c r="E35" s="239">
        <f t="shared" si="20"/>
        <v>189.52700000000002</v>
      </c>
      <c r="F35" s="242"/>
      <c r="G35" s="238">
        <f t="shared" si="20"/>
        <v>18203.471999999998</v>
      </c>
      <c r="H35" s="230"/>
      <c r="I35" s="240">
        <f t="shared" si="20"/>
        <v>20977.899999999998</v>
      </c>
      <c r="J35" s="241"/>
      <c r="K35" s="240">
        <f t="shared" si="20"/>
        <v>49212.394</v>
      </c>
      <c r="L35" s="242"/>
      <c r="M35" s="240">
        <f t="shared" si="20"/>
        <v>17586.296</v>
      </c>
      <c r="N35" s="232"/>
      <c r="O35" s="243">
        <f t="shared" si="20"/>
        <v>24033.953999999998</v>
      </c>
      <c r="P35" s="232"/>
      <c r="Q35" s="240">
        <f t="shared" si="20"/>
        <v>1516.4535</v>
      </c>
      <c r="R35" s="231"/>
      <c r="S35" s="240">
        <f t="shared" si="20"/>
        <v>3871.8190000000004</v>
      </c>
      <c r="T35" s="242"/>
      <c r="U35" s="240">
        <f t="shared" si="20"/>
        <v>765.919</v>
      </c>
      <c r="V35" s="232"/>
      <c r="W35" s="240">
        <f t="shared" si="20"/>
        <v>650.3105</v>
      </c>
      <c r="X35" s="236">
        <f>X36+X37+X38+X39</f>
        <v>87</v>
      </c>
      <c r="Y35" s="240">
        <f t="shared" si="20"/>
        <v>587.6995000000001</v>
      </c>
      <c r="Z35" s="237"/>
      <c r="AA35" s="240">
        <f t="shared" si="20"/>
        <v>398.76450000000006</v>
      </c>
    </row>
    <row r="36" spans="1:27" ht="34.5" customHeight="1">
      <c r="A36" s="217" t="s">
        <v>188</v>
      </c>
      <c r="B36" s="218" t="s">
        <v>189</v>
      </c>
      <c r="C36" s="230">
        <f>Расчет!AJ75</f>
        <v>1.5260000000000002</v>
      </c>
      <c r="D36" s="230">
        <f>Расчет!AK75</f>
        <v>1.5805000000000002</v>
      </c>
      <c r="E36" s="231">
        <f>Расчет!AL75</f>
        <v>1.3298</v>
      </c>
      <c r="F36" s="232">
        <v>110</v>
      </c>
      <c r="G36" s="230">
        <f t="shared" si="17"/>
        <v>167.86</v>
      </c>
      <c r="H36" s="230">
        <v>120</v>
      </c>
      <c r="I36" s="233">
        <f t="shared" si="3"/>
        <v>159.57600000000002</v>
      </c>
      <c r="J36" s="249">
        <v>284</v>
      </c>
      <c r="K36" s="233">
        <f>C36*J36</f>
        <v>433.38400000000007</v>
      </c>
      <c r="L36" s="232">
        <v>21</v>
      </c>
      <c r="M36" s="233">
        <f>C36*L36</f>
        <v>32.04600000000001</v>
      </c>
      <c r="N36" s="232">
        <v>10</v>
      </c>
      <c r="O36" s="235">
        <f t="shared" si="5"/>
        <v>15.260000000000002</v>
      </c>
      <c r="P36" s="232">
        <v>86</v>
      </c>
      <c r="Q36" s="233">
        <f t="shared" si="6"/>
        <v>135.92300000000003</v>
      </c>
      <c r="R36" s="231">
        <v>317</v>
      </c>
      <c r="S36" s="233">
        <f t="shared" si="7"/>
        <v>501.0185000000001</v>
      </c>
      <c r="T36" s="231">
        <v>30</v>
      </c>
      <c r="U36" s="233">
        <f>T36*D36</f>
        <v>47.415000000000006</v>
      </c>
      <c r="V36" s="232">
        <v>20</v>
      </c>
      <c r="W36" s="233">
        <f t="shared" si="9"/>
        <v>31.610000000000007</v>
      </c>
      <c r="X36" s="236">
        <v>25</v>
      </c>
      <c r="Y36" s="233">
        <f t="shared" si="10"/>
        <v>39.5125</v>
      </c>
      <c r="Z36" s="237">
        <v>25</v>
      </c>
      <c r="AA36" s="233">
        <f t="shared" si="11"/>
        <v>39.5125</v>
      </c>
    </row>
    <row r="37" spans="1:27" ht="31.5">
      <c r="A37" s="217" t="s">
        <v>192</v>
      </c>
      <c r="B37" s="218" t="s">
        <v>193</v>
      </c>
      <c r="C37" s="230">
        <f>Расчет!AJ76</f>
        <v>51.59</v>
      </c>
      <c r="D37" s="230">
        <f>Расчет!AK76</f>
        <v>10.6865</v>
      </c>
      <c r="E37" s="231">
        <f>Расчет!AL76</f>
        <v>44.957</v>
      </c>
      <c r="F37" s="232">
        <v>127</v>
      </c>
      <c r="G37" s="230">
        <f t="shared" si="17"/>
        <v>6551.93</v>
      </c>
      <c r="H37" s="230">
        <v>120</v>
      </c>
      <c r="I37" s="233">
        <f t="shared" si="3"/>
        <v>5394.84</v>
      </c>
      <c r="J37" s="249">
        <v>567</v>
      </c>
      <c r="K37" s="233">
        <f>C37*J37</f>
        <v>29251.530000000002</v>
      </c>
      <c r="L37" s="232">
        <v>115</v>
      </c>
      <c r="M37" s="233">
        <f>C37*L37</f>
        <v>5932.85</v>
      </c>
      <c r="N37" s="232">
        <v>155</v>
      </c>
      <c r="O37" s="235">
        <f t="shared" si="5"/>
        <v>7996.450000000001</v>
      </c>
      <c r="P37" s="232">
        <v>86</v>
      </c>
      <c r="Q37" s="233">
        <f t="shared" si="6"/>
        <v>919.0390000000001</v>
      </c>
      <c r="R37" s="231">
        <v>298</v>
      </c>
      <c r="S37" s="233">
        <f t="shared" si="7"/>
        <v>3184.577</v>
      </c>
      <c r="T37" s="231">
        <v>50</v>
      </c>
      <c r="U37" s="233">
        <f t="shared" si="8"/>
        <v>534.325</v>
      </c>
      <c r="V37" s="232">
        <v>45</v>
      </c>
      <c r="W37" s="233">
        <f t="shared" si="9"/>
        <v>480.89250000000004</v>
      </c>
      <c r="X37" s="236">
        <v>45</v>
      </c>
      <c r="Y37" s="233">
        <f t="shared" si="10"/>
        <v>480.89250000000004</v>
      </c>
      <c r="Z37" s="237">
        <v>25</v>
      </c>
      <c r="AA37" s="233">
        <f t="shared" si="11"/>
        <v>267.1625</v>
      </c>
    </row>
    <row r="38" spans="1:27" ht="31.5">
      <c r="A38" s="217" t="s">
        <v>196</v>
      </c>
      <c r="B38" s="218" t="s">
        <v>197</v>
      </c>
      <c r="C38" s="230">
        <f>Расчет!AJ77</f>
        <v>103.32</v>
      </c>
      <c r="D38" s="230">
        <f>Расчет!AK77</f>
        <v>1.7835</v>
      </c>
      <c r="E38" s="231">
        <f>Расчет!AL77</f>
        <v>125.5868</v>
      </c>
      <c r="F38" s="232">
        <v>110</v>
      </c>
      <c r="G38" s="230">
        <f t="shared" si="17"/>
        <v>11365.199999999999</v>
      </c>
      <c r="H38" s="230">
        <v>120</v>
      </c>
      <c r="I38" s="233">
        <f t="shared" si="3"/>
        <v>15070.416</v>
      </c>
      <c r="J38" s="249">
        <v>189</v>
      </c>
      <c r="K38" s="233">
        <f>C38*J38</f>
        <v>19527.48</v>
      </c>
      <c r="L38" s="232">
        <v>111</v>
      </c>
      <c r="M38" s="233">
        <f>C38*L38</f>
        <v>11468.519999999999</v>
      </c>
      <c r="N38" s="232">
        <v>155</v>
      </c>
      <c r="O38" s="235">
        <f t="shared" si="5"/>
        <v>16014.599999999999</v>
      </c>
      <c r="P38" s="232">
        <v>241</v>
      </c>
      <c r="Q38" s="233">
        <f t="shared" si="6"/>
        <v>429.8235</v>
      </c>
      <c r="R38" s="231">
        <v>80</v>
      </c>
      <c r="S38" s="233">
        <f t="shared" si="7"/>
        <v>142.68</v>
      </c>
      <c r="T38" s="231">
        <v>50</v>
      </c>
      <c r="U38" s="233">
        <f t="shared" si="8"/>
        <v>89.17500000000001</v>
      </c>
      <c r="V38" s="232">
        <v>24</v>
      </c>
      <c r="W38" s="233">
        <f t="shared" si="9"/>
        <v>42.804</v>
      </c>
      <c r="X38" s="236">
        <v>0</v>
      </c>
      <c r="Y38" s="233">
        <f t="shared" si="10"/>
        <v>0</v>
      </c>
      <c r="Z38" s="237">
        <v>25</v>
      </c>
      <c r="AA38" s="233">
        <f t="shared" si="11"/>
        <v>44.587500000000006</v>
      </c>
    </row>
    <row r="39" spans="1:27" ht="31.5">
      <c r="A39" s="217" t="s">
        <v>200</v>
      </c>
      <c r="B39" s="218" t="s">
        <v>201</v>
      </c>
      <c r="C39" s="230">
        <f>Расчет!AJ78</f>
        <v>3.822</v>
      </c>
      <c r="D39" s="230">
        <f>Расчет!AK78</f>
        <v>3.9585</v>
      </c>
      <c r="E39" s="231">
        <f>Расчет!AL78</f>
        <v>17.6534</v>
      </c>
      <c r="F39" s="232">
        <v>31</v>
      </c>
      <c r="G39" s="230">
        <f t="shared" si="17"/>
        <v>118.482</v>
      </c>
      <c r="H39" s="230">
        <v>20</v>
      </c>
      <c r="I39" s="233">
        <f t="shared" si="3"/>
        <v>353.06800000000004</v>
      </c>
      <c r="J39" s="249">
        <v>0</v>
      </c>
      <c r="K39" s="233">
        <f>C39*J39</f>
        <v>0</v>
      </c>
      <c r="L39" s="232">
        <v>40</v>
      </c>
      <c r="M39" s="233">
        <f>C39*L39</f>
        <v>152.88</v>
      </c>
      <c r="N39" s="232">
        <v>2</v>
      </c>
      <c r="O39" s="235">
        <f t="shared" si="5"/>
        <v>7.644</v>
      </c>
      <c r="P39" s="232">
        <v>8</v>
      </c>
      <c r="Q39" s="233">
        <f t="shared" si="6"/>
        <v>31.668</v>
      </c>
      <c r="R39" s="231">
        <v>11</v>
      </c>
      <c r="S39" s="233">
        <f t="shared" si="7"/>
        <v>43.5435</v>
      </c>
      <c r="T39" s="231">
        <v>24</v>
      </c>
      <c r="U39" s="233">
        <f t="shared" si="8"/>
        <v>95.00399999999999</v>
      </c>
      <c r="V39" s="232">
        <v>24</v>
      </c>
      <c r="W39" s="233">
        <f t="shared" si="9"/>
        <v>95.00399999999999</v>
      </c>
      <c r="X39" s="236">
        <v>17</v>
      </c>
      <c r="Y39" s="233">
        <f t="shared" si="10"/>
        <v>67.2945</v>
      </c>
      <c r="Z39" s="237">
        <v>12</v>
      </c>
      <c r="AA39" s="233">
        <f t="shared" si="11"/>
        <v>47.501999999999995</v>
      </c>
    </row>
    <row r="40" spans="2:27" ht="15.75">
      <c r="B40" s="252" t="s">
        <v>246</v>
      </c>
      <c r="C40" s="253">
        <f>C5+C13+C20+C23+C27+C31+C35</f>
        <v>1817.2154191780824</v>
      </c>
      <c r="D40" s="253">
        <f>D5+D13+D20+D23+D27+D31+D35</f>
        <v>1370.7879698630138</v>
      </c>
      <c r="E40" s="254">
        <f>E5+E13+E20+E23+E27+E31+E35</f>
        <v>2489.1794367123284</v>
      </c>
      <c r="F40" s="255"/>
      <c r="G40" s="253">
        <f>G5+G13+G20+G23+G27+G31+G35</f>
        <v>207500.29823561647</v>
      </c>
      <c r="H40" s="253"/>
      <c r="I40" s="256">
        <f>I5+I13+I20+I23+I27+I31+I35</f>
        <v>283065.2804054794</v>
      </c>
      <c r="J40" s="255"/>
      <c r="K40" s="256">
        <f>K5+K13+K20+K23+K27+K31+K35</f>
        <v>842589.8386739725</v>
      </c>
      <c r="L40" s="255"/>
      <c r="M40" s="256">
        <f>M5+M13+M20+M23+M27+M31+M35</f>
        <v>190900.55120547945</v>
      </c>
      <c r="N40" s="255"/>
      <c r="O40" s="257">
        <f>O5+O13+O20+O23+O27+O31+O35</f>
        <v>234401.95397260273</v>
      </c>
      <c r="P40" s="255"/>
      <c r="Q40" s="256">
        <f>Q5+Q13+Q20+Q23+Q27+Q31+Q35</f>
        <v>269080.9432369863</v>
      </c>
      <c r="R40" s="255"/>
      <c r="S40" s="256">
        <f>S5+S13+S20+S23+S27+S31+S35</f>
        <v>388822.2202465753</v>
      </c>
      <c r="T40" s="255"/>
      <c r="U40" s="256">
        <f>U5+U13+U20+U23+U27+U31+U35</f>
        <v>62554.95849315069</v>
      </c>
      <c r="V40" s="255"/>
      <c r="W40" s="256">
        <f>W5+W13+W20+W23+W27+W31+W35</f>
        <v>57248.50214383561</v>
      </c>
      <c r="X40" s="258"/>
      <c r="Y40" s="256">
        <f>Y5+Y13+Y20+Y23+Y27+Y31+Y35</f>
        <v>44758.883643835616</v>
      </c>
      <c r="Z40" s="259"/>
      <c r="AA40" s="256">
        <f>AA5+AA13+AA20+AA23+AA27+AA31+AA35</f>
        <v>28760.902746575342</v>
      </c>
    </row>
    <row r="41" spans="2:27" ht="15.75">
      <c r="B41" s="252" t="s">
        <v>233</v>
      </c>
      <c r="C41" s="260"/>
      <c r="D41" s="260"/>
      <c r="E41" s="260"/>
      <c r="F41" s="261"/>
      <c r="G41" s="265">
        <f>G40*365</f>
        <v>75737608.856</v>
      </c>
      <c r="H41" s="265"/>
      <c r="I41" s="266">
        <f>I40*365</f>
        <v>103318827.34799999</v>
      </c>
      <c r="J41" s="267"/>
      <c r="K41" s="266">
        <f>K40*365</f>
        <v>307545291.116</v>
      </c>
      <c r="L41" s="267"/>
      <c r="M41" s="266">
        <f>M40*365</f>
        <v>69678701.19</v>
      </c>
      <c r="N41" s="267"/>
      <c r="O41" s="268">
        <f>O40*365</f>
        <v>85556713.2</v>
      </c>
      <c r="P41" s="267"/>
      <c r="Q41" s="266">
        <f aca="true" t="shared" si="21" ref="Q41:AA41">Q40*365</f>
        <v>98214544.2815</v>
      </c>
      <c r="R41" s="267"/>
      <c r="S41" s="266">
        <f t="shared" si="21"/>
        <v>141920110.39</v>
      </c>
      <c r="T41" s="267"/>
      <c r="U41" s="266">
        <f>U40*365</f>
        <v>22832559.85</v>
      </c>
      <c r="V41" s="267"/>
      <c r="W41" s="266">
        <f t="shared" si="21"/>
        <v>20895703.2825</v>
      </c>
      <c r="X41" s="269"/>
      <c r="Y41" s="266">
        <f t="shared" si="21"/>
        <v>16336992.53</v>
      </c>
      <c r="Z41" s="259"/>
      <c r="AA41" s="266">
        <f t="shared" si="21"/>
        <v>10497729.5025</v>
      </c>
    </row>
    <row r="42" spans="2:27" ht="15.75">
      <c r="B42" s="252" t="s">
        <v>237</v>
      </c>
      <c r="C42" s="262"/>
      <c r="D42" s="262"/>
      <c r="E42" s="262"/>
      <c r="F42" s="263"/>
      <c r="G42" s="265">
        <v>13416283</v>
      </c>
      <c r="H42" s="265"/>
      <c r="I42" s="266">
        <v>0</v>
      </c>
      <c r="J42" s="267"/>
      <c r="K42" s="266">
        <v>57200000</v>
      </c>
      <c r="L42" s="267"/>
      <c r="M42" s="266">
        <v>13036702.19</v>
      </c>
      <c r="N42" s="267"/>
      <c r="O42" s="268">
        <v>17911111</v>
      </c>
      <c r="P42" s="270"/>
      <c r="Q42" s="271">
        <v>33360347.88</v>
      </c>
      <c r="R42" s="270"/>
      <c r="S42" s="272">
        <v>38364902.62</v>
      </c>
      <c r="T42" s="273"/>
      <c r="U42" s="272">
        <v>5777665</v>
      </c>
      <c r="V42" s="273"/>
      <c r="W42" s="272">
        <v>5560590.6</v>
      </c>
      <c r="X42" s="274"/>
      <c r="Y42" s="272">
        <v>6984208.8</v>
      </c>
      <c r="Z42" s="273"/>
      <c r="AA42" s="272">
        <v>2859814.37</v>
      </c>
    </row>
    <row r="43" spans="2:27" ht="15.75">
      <c r="B43" s="252" t="s">
        <v>234</v>
      </c>
      <c r="C43" s="262"/>
      <c r="D43" s="262"/>
      <c r="E43" s="262"/>
      <c r="F43" s="263"/>
      <c r="G43" s="275">
        <f>G41-G42</f>
        <v>62321325.856000006</v>
      </c>
      <c r="H43" s="275"/>
      <c r="I43" s="276">
        <f>I41-I42</f>
        <v>103318827.34799999</v>
      </c>
      <c r="J43" s="277"/>
      <c r="K43" s="276">
        <f>K41-K42</f>
        <v>250345291.116</v>
      </c>
      <c r="L43" s="277"/>
      <c r="M43" s="276">
        <f>M41-M42</f>
        <v>56641999</v>
      </c>
      <c r="N43" s="277"/>
      <c r="O43" s="278">
        <f>O41-O42</f>
        <v>67645602.2</v>
      </c>
      <c r="P43" s="277"/>
      <c r="Q43" s="276">
        <f>Q41-Q42</f>
        <v>64854196.4015</v>
      </c>
      <c r="R43" s="277"/>
      <c r="S43" s="276">
        <f>S41-S42</f>
        <v>103555207.76999998</v>
      </c>
      <c r="T43" s="277"/>
      <c r="U43" s="276">
        <f>U41-U42</f>
        <v>17054894.85</v>
      </c>
      <c r="V43" s="277"/>
      <c r="W43" s="276">
        <f>W41-W42</f>
        <v>15335112.6825</v>
      </c>
      <c r="X43" s="279"/>
      <c r="Y43" s="276">
        <f>Y41-Y42</f>
        <v>9352783.73</v>
      </c>
      <c r="Z43" s="277"/>
      <c r="AA43" s="276">
        <f>AA41-AA42</f>
        <v>7637915.132499999</v>
      </c>
    </row>
    <row r="44" spans="2:27" ht="15.75">
      <c r="B44" s="252" t="s">
        <v>235</v>
      </c>
      <c r="C44" s="262"/>
      <c r="D44" s="262"/>
      <c r="E44" s="262"/>
      <c r="F44" s="263"/>
      <c r="G44" s="265">
        <v>60476272.6</v>
      </c>
      <c r="H44" s="265"/>
      <c r="I44" s="266">
        <v>99953727.4</v>
      </c>
      <c r="J44" s="255"/>
      <c r="K44" s="256">
        <v>247718400</v>
      </c>
      <c r="L44" s="255"/>
      <c r="M44" s="256">
        <v>60818700</v>
      </c>
      <c r="N44" s="255"/>
      <c r="O44" s="257">
        <v>67159600</v>
      </c>
      <c r="P44" s="261"/>
      <c r="Q44" s="280">
        <f>67224500</f>
        <v>67224500</v>
      </c>
      <c r="R44" s="261"/>
      <c r="S44" s="280">
        <f>103705500</f>
        <v>103705500</v>
      </c>
      <c r="T44" s="261"/>
      <c r="U44" s="280">
        <f>23905800</f>
        <v>23905800</v>
      </c>
      <c r="V44" s="261"/>
      <c r="W44" s="280">
        <f>456129.52*38</f>
        <v>17332921.76</v>
      </c>
      <c r="X44" s="260"/>
      <c r="Y44" s="280">
        <f>510078.07*45</f>
        <v>22953513.15</v>
      </c>
      <c r="Z44" s="261"/>
      <c r="AA44" s="280">
        <f>530452.14*25</f>
        <v>13261303.5</v>
      </c>
    </row>
    <row r="45" spans="2:27" ht="16.5" thickBot="1">
      <c r="B45" s="252" t="s">
        <v>236</v>
      </c>
      <c r="C45" s="281"/>
      <c r="D45" s="281"/>
      <c r="E45" s="281"/>
      <c r="F45" s="282"/>
      <c r="G45" s="283">
        <f>G43-G44</f>
        <v>1845053.2560000047</v>
      </c>
      <c r="H45" s="283"/>
      <c r="I45" s="284">
        <f>I43-I44</f>
        <v>3365099.947999984</v>
      </c>
      <c r="J45" s="285"/>
      <c r="K45" s="284">
        <f aca="true" t="shared" si="22" ref="K45:AA45">K43-K44</f>
        <v>2626891.1159999967</v>
      </c>
      <c r="L45" s="285"/>
      <c r="M45" s="284">
        <f t="shared" si="22"/>
        <v>-4176701</v>
      </c>
      <c r="N45" s="285"/>
      <c r="O45" s="286">
        <f t="shared" si="22"/>
        <v>486002.200000003</v>
      </c>
      <c r="P45" s="285"/>
      <c r="Q45" s="284">
        <f>Q43-Q44</f>
        <v>-2370303.5984999985</v>
      </c>
      <c r="R45" s="285"/>
      <c r="S45" s="284">
        <f t="shared" si="22"/>
        <v>-150292.23000001907</v>
      </c>
      <c r="T45" s="285"/>
      <c r="U45" s="284">
        <f t="shared" si="22"/>
        <v>-6850905.1499999985</v>
      </c>
      <c r="V45" s="285"/>
      <c r="W45" s="284">
        <f t="shared" si="22"/>
        <v>-1997809.0775000025</v>
      </c>
      <c r="X45" s="287"/>
      <c r="Y45" s="284">
        <f t="shared" si="22"/>
        <v>-13600729.419999998</v>
      </c>
      <c r="Z45" s="285"/>
      <c r="AA45" s="284">
        <f t="shared" si="22"/>
        <v>-5623388.367500001</v>
      </c>
    </row>
  </sheetData>
  <sheetProtection/>
  <mergeCells count="32">
    <mergeCell ref="Z2:AA2"/>
    <mergeCell ref="Z4:AA4"/>
    <mergeCell ref="V2:W2"/>
    <mergeCell ref="V4:W4"/>
    <mergeCell ref="X2:Y2"/>
    <mergeCell ref="X4:Y4"/>
    <mergeCell ref="A35:B35"/>
    <mergeCell ref="C2:E2"/>
    <mergeCell ref="C3:E3"/>
    <mergeCell ref="A5:B5"/>
    <mergeCell ref="A20:B20"/>
    <mergeCell ref="A27:B27"/>
    <mergeCell ref="A2:A4"/>
    <mergeCell ref="A31:B31"/>
    <mergeCell ref="A23:B23"/>
    <mergeCell ref="B2:B4"/>
    <mergeCell ref="A13:B13"/>
    <mergeCell ref="F4:G4"/>
    <mergeCell ref="J2:K2"/>
    <mergeCell ref="N2:O2"/>
    <mergeCell ref="P4:Q4"/>
    <mergeCell ref="J4:K4"/>
    <mergeCell ref="H4:I4"/>
    <mergeCell ref="N4:O4"/>
    <mergeCell ref="L4:M4"/>
    <mergeCell ref="F2:I2"/>
    <mergeCell ref="T4:U4"/>
    <mergeCell ref="R2:S2"/>
    <mergeCell ref="R4:S4"/>
    <mergeCell ref="T2:U2"/>
    <mergeCell ref="L2:M2"/>
    <mergeCell ref="P2:Q2"/>
  </mergeCells>
  <printOptions/>
  <pageMargins left="0.2362204724409449" right="0.2362204724409449" top="0.7480314960629921" bottom="0.7480314960629921" header="0.31496062992125984" footer="0.31496062992125984"/>
  <pageSetup fitToWidth="4" horizontalDpi="600" verticalDpi="600" orientation="landscape" paperSize="8" scale="52" r:id="rId1"/>
  <colBreaks count="1" manualBreakCount="1">
    <brk id="25" min="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S47"/>
  <sheetViews>
    <sheetView zoomScale="70" zoomScaleNormal="70" zoomScalePageLayoutView="0" workbookViewId="0" topLeftCell="A32">
      <selection activeCell="F44" sqref="F44"/>
    </sheetView>
  </sheetViews>
  <sheetFormatPr defaultColWidth="9.140625" defaultRowHeight="15"/>
  <cols>
    <col min="1" max="1" width="5.7109375" style="345" customWidth="1"/>
    <col min="2" max="2" width="56.00390625" style="345" customWidth="1"/>
    <col min="3" max="3" width="10.140625" style="345" customWidth="1"/>
    <col min="4" max="4" width="13.28125" style="345" customWidth="1"/>
    <col min="5" max="6" width="9.421875" style="379" customWidth="1"/>
    <col min="7" max="7" width="11.421875" style="379" customWidth="1"/>
    <col min="8" max="8" width="9.421875" style="379" customWidth="1"/>
    <col min="9" max="9" width="7.8515625" style="379" customWidth="1"/>
    <col min="10" max="10" width="8.00390625" style="345" customWidth="1"/>
    <col min="11" max="12" width="8.28125" style="345" customWidth="1"/>
    <col min="13" max="13" width="9.421875" style="345" customWidth="1"/>
    <col min="14" max="14" width="11.8515625" style="379" customWidth="1"/>
    <col min="15" max="15" width="9.421875" style="379" customWidth="1"/>
    <col min="16" max="18" width="9.421875" style="345" customWidth="1"/>
    <col min="19" max="16384" width="9.140625" style="345" customWidth="1"/>
  </cols>
  <sheetData>
    <row r="1" spans="1:18" ht="10.5" customHeight="1">
      <c r="A1" s="339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468"/>
      <c r="P1" s="468"/>
      <c r="Q1" s="468"/>
      <c r="R1" s="468"/>
    </row>
    <row r="2" spans="1:18" ht="35.25" customHeight="1">
      <c r="A2" s="469" t="s">
        <v>315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1"/>
    </row>
    <row r="3" spans="1:18" ht="20.25" customHeight="1">
      <c r="A3" s="472" t="s">
        <v>298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4"/>
    </row>
    <row r="4" spans="1:29" ht="39.75" customHeight="1">
      <c r="A4" s="475" t="s">
        <v>18</v>
      </c>
      <c r="B4" s="475" t="s">
        <v>257</v>
      </c>
      <c r="C4" s="478" t="s">
        <v>276</v>
      </c>
      <c r="D4" s="479"/>
      <c r="E4" s="484" t="s">
        <v>306</v>
      </c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6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46"/>
    </row>
    <row r="5" spans="1:29" ht="27.75" customHeight="1">
      <c r="A5" s="476"/>
      <c r="B5" s="476"/>
      <c r="C5" s="480"/>
      <c r="D5" s="481"/>
      <c r="E5" s="487" t="s">
        <v>277</v>
      </c>
      <c r="F5" s="488"/>
      <c r="G5" s="488"/>
      <c r="H5" s="488"/>
      <c r="I5" s="488"/>
      <c r="J5" s="488"/>
      <c r="K5" s="488"/>
      <c r="L5" s="489"/>
      <c r="M5" s="487" t="s">
        <v>280</v>
      </c>
      <c r="N5" s="488"/>
      <c r="O5" s="488"/>
      <c r="P5" s="488"/>
      <c r="Q5" s="488"/>
      <c r="R5" s="489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</row>
    <row r="6" spans="1:29" ht="53.25" customHeight="1">
      <c r="A6" s="476"/>
      <c r="B6" s="476"/>
      <c r="C6" s="482"/>
      <c r="D6" s="483"/>
      <c r="E6" s="487" t="s">
        <v>289</v>
      </c>
      <c r="F6" s="488"/>
      <c r="G6" s="488"/>
      <c r="H6" s="489"/>
      <c r="I6" s="487" t="s">
        <v>301</v>
      </c>
      <c r="J6" s="489"/>
      <c r="K6" s="487" t="s">
        <v>290</v>
      </c>
      <c r="L6" s="489"/>
      <c r="M6" s="487" t="s">
        <v>291</v>
      </c>
      <c r="N6" s="489"/>
      <c r="O6" s="487" t="s">
        <v>290</v>
      </c>
      <c r="P6" s="489"/>
      <c r="Q6" s="487" t="s">
        <v>292</v>
      </c>
      <c r="R6" s="489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</row>
    <row r="7" spans="1:18" s="348" customFormat="1" ht="101.25" customHeight="1">
      <c r="A7" s="477"/>
      <c r="B7" s="477"/>
      <c r="C7" s="343" t="s">
        <v>286</v>
      </c>
      <c r="D7" s="343" t="s">
        <v>279</v>
      </c>
      <c r="E7" s="344" t="s">
        <v>278</v>
      </c>
      <c r="F7" s="344" t="s">
        <v>316</v>
      </c>
      <c r="G7" s="344" t="s">
        <v>288</v>
      </c>
      <c r="H7" s="344" t="s">
        <v>279</v>
      </c>
      <c r="I7" s="347" t="s">
        <v>278</v>
      </c>
      <c r="J7" s="344" t="s">
        <v>279</v>
      </c>
      <c r="K7" s="344" t="s">
        <v>278</v>
      </c>
      <c r="L7" s="344" t="s">
        <v>279</v>
      </c>
      <c r="M7" s="344" t="s">
        <v>278</v>
      </c>
      <c r="N7" s="344" t="s">
        <v>316</v>
      </c>
      <c r="O7" s="344" t="s">
        <v>278</v>
      </c>
      <c r="P7" s="344" t="s">
        <v>279</v>
      </c>
      <c r="Q7" s="344" t="s">
        <v>278</v>
      </c>
      <c r="R7" s="344" t="s">
        <v>279</v>
      </c>
    </row>
    <row r="8" spans="1:18" ht="24" customHeight="1">
      <c r="A8" s="349" t="s">
        <v>314</v>
      </c>
      <c r="B8" s="350"/>
      <c r="C8" s="351">
        <f>E8+M8</f>
        <v>11</v>
      </c>
      <c r="D8" s="351">
        <f>F8+N8</f>
        <v>8286</v>
      </c>
      <c r="E8" s="352">
        <v>7</v>
      </c>
      <c r="F8" s="352">
        <f>SUM(F9:F15)</f>
        <v>3162</v>
      </c>
      <c r="G8" s="352"/>
      <c r="H8" s="352"/>
      <c r="I8" s="352"/>
      <c r="J8" s="352"/>
      <c r="K8" s="352"/>
      <c r="L8" s="352"/>
      <c r="M8" s="352">
        <v>4</v>
      </c>
      <c r="N8" s="352">
        <f>SUM(N9:N15)</f>
        <v>5124</v>
      </c>
      <c r="O8" s="352"/>
      <c r="P8" s="352"/>
      <c r="Q8" s="352"/>
      <c r="R8" s="352"/>
    </row>
    <row r="9" spans="1:18" ht="34.5" customHeight="1">
      <c r="A9" s="289">
        <v>1</v>
      </c>
      <c r="B9" s="353" t="s">
        <v>248</v>
      </c>
      <c r="C9" s="354">
        <f aca="true" t="shared" si="0" ref="C9:D45">E9+M9</f>
        <v>11</v>
      </c>
      <c r="D9" s="354">
        <f t="shared" si="0"/>
        <v>3045</v>
      </c>
      <c r="E9" s="355">
        <v>7</v>
      </c>
      <c r="F9" s="355">
        <v>1581</v>
      </c>
      <c r="G9" s="355"/>
      <c r="H9" s="355"/>
      <c r="I9" s="355"/>
      <c r="J9" s="355"/>
      <c r="K9" s="355"/>
      <c r="L9" s="355"/>
      <c r="M9" s="355">
        <v>4</v>
      </c>
      <c r="N9" s="355">
        <v>1464</v>
      </c>
      <c r="O9" s="355"/>
      <c r="P9" s="356"/>
      <c r="Q9" s="356"/>
      <c r="R9" s="356"/>
    </row>
    <row r="10" spans="1:18" ht="34.5" customHeight="1">
      <c r="A10" s="290">
        <v>2</v>
      </c>
      <c r="B10" s="297" t="s">
        <v>255</v>
      </c>
      <c r="C10" s="354">
        <f t="shared" si="0"/>
        <v>11</v>
      </c>
      <c r="D10" s="354">
        <f t="shared" si="0"/>
        <v>3045</v>
      </c>
      <c r="E10" s="357">
        <v>7</v>
      </c>
      <c r="F10" s="357">
        <v>1581</v>
      </c>
      <c r="G10" s="357"/>
      <c r="H10" s="357"/>
      <c r="I10" s="357"/>
      <c r="J10" s="357"/>
      <c r="K10" s="357"/>
      <c r="L10" s="357"/>
      <c r="M10" s="357">
        <v>4</v>
      </c>
      <c r="N10" s="357">
        <v>1464</v>
      </c>
      <c r="O10" s="357"/>
      <c r="P10" s="356"/>
      <c r="Q10" s="356"/>
      <c r="R10" s="356"/>
    </row>
    <row r="11" spans="1:18" ht="50.25" customHeight="1">
      <c r="A11" s="290">
        <v>3</v>
      </c>
      <c r="B11" s="297" t="s">
        <v>258</v>
      </c>
      <c r="C11" s="354">
        <f t="shared" si="0"/>
        <v>4</v>
      </c>
      <c r="D11" s="354">
        <f t="shared" si="0"/>
        <v>1464</v>
      </c>
      <c r="E11" s="357"/>
      <c r="F11" s="357"/>
      <c r="G11" s="357"/>
      <c r="H11" s="357"/>
      <c r="I11" s="357"/>
      <c r="J11" s="357"/>
      <c r="K11" s="357"/>
      <c r="L11" s="357"/>
      <c r="M11" s="357">
        <v>4</v>
      </c>
      <c r="N11" s="357">
        <v>1464</v>
      </c>
      <c r="O11" s="357"/>
      <c r="P11" s="356"/>
      <c r="Q11" s="356"/>
      <c r="R11" s="356"/>
    </row>
    <row r="12" spans="1:18" ht="21.75" customHeight="1">
      <c r="A12" s="289">
        <v>4</v>
      </c>
      <c r="B12" s="298" t="s">
        <v>263</v>
      </c>
      <c r="C12" s="354"/>
      <c r="D12" s="354"/>
      <c r="E12" s="357"/>
      <c r="F12" s="357"/>
      <c r="G12" s="357"/>
      <c r="H12" s="357"/>
      <c r="I12" s="357"/>
      <c r="J12" s="357"/>
      <c r="K12" s="357"/>
      <c r="L12" s="357"/>
      <c r="M12" s="357"/>
      <c r="N12" s="358"/>
      <c r="O12" s="358"/>
      <c r="P12" s="356"/>
      <c r="Q12" s="356"/>
      <c r="R12" s="356"/>
    </row>
    <row r="13" spans="1:18" ht="50.25" customHeight="1">
      <c r="A13" s="342">
        <v>5</v>
      </c>
      <c r="B13" s="359" t="s">
        <v>252</v>
      </c>
      <c r="C13" s="354">
        <f t="shared" si="0"/>
        <v>2</v>
      </c>
      <c r="D13" s="354">
        <f t="shared" si="0"/>
        <v>732</v>
      </c>
      <c r="E13" s="357"/>
      <c r="F13" s="357"/>
      <c r="G13" s="357"/>
      <c r="H13" s="357"/>
      <c r="I13" s="357"/>
      <c r="J13" s="357"/>
      <c r="K13" s="357"/>
      <c r="L13" s="357"/>
      <c r="M13" s="357">
        <v>2</v>
      </c>
      <c r="N13" s="358">
        <v>732</v>
      </c>
      <c r="O13" s="358"/>
      <c r="P13" s="356"/>
      <c r="Q13" s="358"/>
      <c r="R13" s="358"/>
    </row>
    <row r="14" spans="1:18" ht="31.5" customHeight="1">
      <c r="A14" s="289">
        <v>6</v>
      </c>
      <c r="B14" s="359" t="s">
        <v>88</v>
      </c>
      <c r="C14" s="354"/>
      <c r="D14" s="354"/>
      <c r="E14" s="357"/>
      <c r="F14" s="357"/>
      <c r="G14" s="357"/>
      <c r="H14" s="357"/>
      <c r="I14" s="357"/>
      <c r="J14" s="357"/>
      <c r="K14" s="357"/>
      <c r="L14" s="357"/>
      <c r="M14" s="357"/>
      <c r="N14" s="358"/>
      <c r="O14" s="358"/>
      <c r="P14" s="358"/>
      <c r="Q14" s="358"/>
      <c r="R14" s="358"/>
    </row>
    <row r="15" spans="1:18" ht="21" customHeight="1">
      <c r="A15" s="344">
        <v>7</v>
      </c>
      <c r="B15" s="297" t="s">
        <v>253</v>
      </c>
      <c r="C15" s="354"/>
      <c r="D15" s="354"/>
      <c r="E15" s="355"/>
      <c r="F15" s="355"/>
      <c r="G15" s="355"/>
      <c r="H15" s="355"/>
      <c r="I15" s="355"/>
      <c r="J15" s="355"/>
      <c r="K15" s="355"/>
      <c r="L15" s="355"/>
      <c r="M15" s="355"/>
      <c r="N15" s="356"/>
      <c r="O15" s="356"/>
      <c r="P15" s="360"/>
      <c r="Q15" s="360"/>
      <c r="R15" s="360"/>
    </row>
    <row r="16" spans="1:18" ht="24" customHeight="1">
      <c r="A16" s="361" t="s">
        <v>313</v>
      </c>
      <c r="B16" s="292"/>
      <c r="C16" s="351">
        <f t="shared" si="0"/>
        <v>11</v>
      </c>
      <c r="D16" s="351">
        <f>F16+N16</f>
        <v>11801</v>
      </c>
      <c r="E16" s="352">
        <v>7</v>
      </c>
      <c r="F16" s="352">
        <f>SUM(F17:F22)</f>
        <v>6340</v>
      </c>
      <c r="G16" s="352"/>
      <c r="H16" s="352"/>
      <c r="I16" s="352"/>
      <c r="J16" s="352"/>
      <c r="K16" s="352"/>
      <c r="L16" s="352"/>
      <c r="M16" s="352">
        <v>4</v>
      </c>
      <c r="N16" s="352">
        <f>SUM(N17:N22)</f>
        <v>5461</v>
      </c>
      <c r="O16" s="352"/>
      <c r="P16" s="352"/>
      <c r="Q16" s="352"/>
      <c r="R16" s="352"/>
    </row>
    <row r="17" spans="1:18" ht="78" customHeight="1">
      <c r="A17" s="344">
        <v>8</v>
      </c>
      <c r="B17" s="299" t="s">
        <v>256</v>
      </c>
      <c r="C17" s="354">
        <f t="shared" si="0"/>
        <v>11</v>
      </c>
      <c r="D17" s="354">
        <f t="shared" si="0"/>
        <v>2990</v>
      </c>
      <c r="E17" s="357">
        <v>7</v>
      </c>
      <c r="F17" s="357">
        <v>1526</v>
      </c>
      <c r="G17" s="357"/>
      <c r="H17" s="357"/>
      <c r="I17" s="357"/>
      <c r="J17" s="357"/>
      <c r="K17" s="357"/>
      <c r="L17" s="357"/>
      <c r="M17" s="357" t="s">
        <v>311</v>
      </c>
      <c r="N17" s="356">
        <v>1464</v>
      </c>
      <c r="O17" s="356"/>
      <c r="P17" s="360"/>
      <c r="Q17" s="360"/>
      <c r="R17" s="360"/>
    </row>
    <row r="18" spans="1:18" ht="36" customHeight="1">
      <c r="A18" s="344">
        <v>9</v>
      </c>
      <c r="B18" s="362" t="s">
        <v>254</v>
      </c>
      <c r="C18" s="354">
        <f t="shared" si="0"/>
        <v>11</v>
      </c>
      <c r="D18" s="354">
        <f t="shared" si="0"/>
        <v>496</v>
      </c>
      <c r="E18" s="357">
        <v>7</v>
      </c>
      <c r="F18" s="357">
        <v>307</v>
      </c>
      <c r="G18" s="357"/>
      <c r="H18" s="357"/>
      <c r="I18" s="357"/>
      <c r="J18" s="357"/>
      <c r="K18" s="357"/>
      <c r="L18" s="357"/>
      <c r="M18" s="357">
        <v>4</v>
      </c>
      <c r="N18" s="356">
        <v>189</v>
      </c>
      <c r="O18" s="356"/>
      <c r="P18" s="356"/>
      <c r="Q18" s="356"/>
      <c r="R18" s="356"/>
    </row>
    <row r="19" spans="1:19" ht="49.5" customHeight="1">
      <c r="A19" s="344">
        <v>10</v>
      </c>
      <c r="B19" s="194" t="s">
        <v>117</v>
      </c>
      <c r="C19" s="354">
        <f t="shared" si="0"/>
        <v>11</v>
      </c>
      <c r="D19" s="354">
        <f t="shared" si="0"/>
        <v>3045</v>
      </c>
      <c r="E19" s="357">
        <v>7</v>
      </c>
      <c r="F19" s="357">
        <v>1581</v>
      </c>
      <c r="G19" s="357"/>
      <c r="H19" s="357"/>
      <c r="I19" s="357"/>
      <c r="J19" s="357"/>
      <c r="K19" s="357"/>
      <c r="L19" s="357"/>
      <c r="M19" s="357">
        <v>4</v>
      </c>
      <c r="N19" s="356">
        <v>1464</v>
      </c>
      <c r="O19" s="356"/>
      <c r="P19" s="356"/>
      <c r="Q19" s="356"/>
      <c r="R19" s="356"/>
      <c r="S19" s="363"/>
    </row>
    <row r="20" spans="1:18" ht="31.5">
      <c r="A20" s="344">
        <v>11</v>
      </c>
      <c r="B20" s="303" t="s">
        <v>129</v>
      </c>
      <c r="C20" s="354">
        <f t="shared" si="0"/>
        <v>11</v>
      </c>
      <c r="D20" s="354">
        <f t="shared" si="0"/>
        <v>597</v>
      </c>
      <c r="E20" s="357">
        <v>7</v>
      </c>
      <c r="F20" s="357">
        <v>341</v>
      </c>
      <c r="G20" s="357"/>
      <c r="H20" s="357"/>
      <c r="I20" s="357"/>
      <c r="J20" s="357"/>
      <c r="K20" s="357"/>
      <c r="L20" s="357"/>
      <c r="M20" s="357">
        <v>4</v>
      </c>
      <c r="N20" s="356">
        <v>256</v>
      </c>
      <c r="O20" s="356"/>
      <c r="P20" s="360"/>
      <c r="Q20" s="360"/>
      <c r="R20" s="360"/>
    </row>
    <row r="21" spans="1:18" ht="25.5" customHeight="1">
      <c r="A21" s="344">
        <v>12</v>
      </c>
      <c r="B21" s="191" t="s">
        <v>132</v>
      </c>
      <c r="C21" s="354">
        <f t="shared" si="0"/>
        <v>11</v>
      </c>
      <c r="D21" s="354">
        <f t="shared" si="0"/>
        <v>4158</v>
      </c>
      <c r="E21" s="357">
        <v>7</v>
      </c>
      <c r="F21" s="357">
        <v>2278</v>
      </c>
      <c r="G21" s="357"/>
      <c r="H21" s="357"/>
      <c r="I21" s="357"/>
      <c r="J21" s="357"/>
      <c r="K21" s="357"/>
      <c r="L21" s="357"/>
      <c r="M21" s="357">
        <v>4</v>
      </c>
      <c r="N21" s="356">
        <v>1880</v>
      </c>
      <c r="O21" s="356"/>
      <c r="P21" s="360"/>
      <c r="Q21" s="360"/>
      <c r="R21" s="360"/>
    </row>
    <row r="22" spans="1:18" ht="80.25" customHeight="1">
      <c r="A22" s="344">
        <v>13</v>
      </c>
      <c r="B22" s="303" t="s">
        <v>249</v>
      </c>
      <c r="C22" s="354">
        <f t="shared" si="0"/>
        <v>11</v>
      </c>
      <c r="D22" s="354">
        <f t="shared" si="0"/>
        <v>515</v>
      </c>
      <c r="E22" s="355">
        <v>7</v>
      </c>
      <c r="F22" s="355">
        <v>307</v>
      </c>
      <c r="G22" s="355"/>
      <c r="H22" s="355"/>
      <c r="I22" s="355"/>
      <c r="J22" s="355"/>
      <c r="K22" s="355"/>
      <c r="L22" s="355"/>
      <c r="M22" s="355">
        <v>4</v>
      </c>
      <c r="N22" s="356">
        <v>208</v>
      </c>
      <c r="O22" s="356"/>
      <c r="P22" s="360"/>
      <c r="Q22" s="360"/>
      <c r="R22" s="360"/>
    </row>
    <row r="23" spans="1:18" s="365" customFormat="1" ht="23.25" customHeight="1">
      <c r="A23" s="292" t="s">
        <v>312</v>
      </c>
      <c r="B23" s="292"/>
      <c r="C23" s="351">
        <f t="shared" si="0"/>
        <v>15</v>
      </c>
      <c r="D23" s="351">
        <f t="shared" si="0"/>
        <v>1581</v>
      </c>
      <c r="E23" s="352">
        <v>7</v>
      </c>
      <c r="F23" s="352">
        <f>SUM(F24:F26)</f>
        <v>157</v>
      </c>
      <c r="G23" s="352"/>
      <c r="H23" s="352"/>
      <c r="I23" s="352"/>
      <c r="J23" s="364"/>
      <c r="K23" s="364"/>
      <c r="L23" s="364"/>
      <c r="M23" s="364">
        <v>8</v>
      </c>
      <c r="N23" s="352">
        <f>SUM(N24:N26)</f>
        <v>1424</v>
      </c>
      <c r="O23" s="352"/>
      <c r="P23" s="364"/>
      <c r="Q23" s="364"/>
      <c r="R23" s="364"/>
    </row>
    <row r="24" spans="1:18" ht="32.25" customHeight="1">
      <c r="A24" s="344">
        <v>14</v>
      </c>
      <c r="B24" s="297" t="s">
        <v>137</v>
      </c>
      <c r="C24" s="354">
        <f t="shared" si="0"/>
        <v>11</v>
      </c>
      <c r="D24" s="354">
        <f t="shared" si="0"/>
        <v>291</v>
      </c>
      <c r="E24" s="357">
        <v>7</v>
      </c>
      <c r="F24" s="357">
        <v>83</v>
      </c>
      <c r="G24" s="357"/>
      <c r="H24" s="357"/>
      <c r="I24" s="357"/>
      <c r="J24" s="357"/>
      <c r="K24" s="357"/>
      <c r="L24" s="357"/>
      <c r="M24" s="357">
        <v>4</v>
      </c>
      <c r="N24" s="356">
        <v>208</v>
      </c>
      <c r="O24" s="356"/>
      <c r="P24" s="356"/>
      <c r="Q24" s="356"/>
      <c r="R24" s="356"/>
    </row>
    <row r="25" spans="1:18" ht="23.25" customHeight="1">
      <c r="A25" s="344">
        <v>15</v>
      </c>
      <c r="B25" s="304" t="s">
        <v>142</v>
      </c>
      <c r="C25" s="354">
        <f t="shared" si="0"/>
        <v>11</v>
      </c>
      <c r="D25" s="354">
        <f t="shared" si="0"/>
        <v>282</v>
      </c>
      <c r="E25" s="357">
        <v>7</v>
      </c>
      <c r="F25" s="357">
        <v>74</v>
      </c>
      <c r="G25" s="357"/>
      <c r="H25" s="357"/>
      <c r="I25" s="357"/>
      <c r="J25" s="357"/>
      <c r="K25" s="357"/>
      <c r="L25" s="357"/>
      <c r="M25" s="357">
        <v>4</v>
      </c>
      <c r="N25" s="356">
        <v>208</v>
      </c>
      <c r="O25" s="356"/>
      <c r="P25" s="356"/>
      <c r="Q25" s="356"/>
      <c r="R25" s="356"/>
    </row>
    <row r="26" spans="1:18" ht="51.75" customHeight="1">
      <c r="A26" s="344">
        <v>16</v>
      </c>
      <c r="B26" s="305" t="s">
        <v>264</v>
      </c>
      <c r="C26" s="354">
        <f t="shared" si="0"/>
        <v>8</v>
      </c>
      <c r="D26" s="354">
        <f t="shared" si="0"/>
        <v>1008</v>
      </c>
      <c r="E26" s="355"/>
      <c r="F26" s="355"/>
      <c r="G26" s="355"/>
      <c r="H26" s="355"/>
      <c r="I26" s="355"/>
      <c r="J26" s="355"/>
      <c r="K26" s="355"/>
      <c r="L26" s="355"/>
      <c r="M26" s="355">
        <v>8</v>
      </c>
      <c r="N26" s="356">
        <v>1008</v>
      </c>
      <c r="O26" s="356"/>
      <c r="P26" s="360"/>
      <c r="Q26" s="360"/>
      <c r="R26" s="360"/>
    </row>
    <row r="27" spans="1:18" s="365" customFormat="1" ht="24" customHeight="1">
      <c r="A27" s="292" t="s">
        <v>281</v>
      </c>
      <c r="B27" s="292"/>
      <c r="C27" s="351">
        <f>E27+M27</f>
        <v>11</v>
      </c>
      <c r="D27" s="351">
        <f t="shared" si="0"/>
        <v>3255</v>
      </c>
      <c r="E27" s="352">
        <v>7</v>
      </c>
      <c r="F27" s="352">
        <f>SUM(F28:F32)</f>
        <v>928</v>
      </c>
      <c r="G27" s="352"/>
      <c r="H27" s="352"/>
      <c r="I27" s="352"/>
      <c r="J27" s="352"/>
      <c r="K27" s="352"/>
      <c r="L27" s="352"/>
      <c r="M27" s="352">
        <v>4</v>
      </c>
      <c r="N27" s="352">
        <f>SUM(N28:N32)</f>
        <v>2327</v>
      </c>
      <c r="O27" s="352"/>
      <c r="P27" s="352"/>
      <c r="Q27" s="352"/>
      <c r="R27" s="352"/>
    </row>
    <row r="28" spans="1:18" ht="66.75" customHeight="1">
      <c r="A28" s="344">
        <v>17</v>
      </c>
      <c r="B28" s="305" t="s">
        <v>265</v>
      </c>
      <c r="C28" s="354"/>
      <c r="D28" s="354"/>
      <c r="E28" s="357"/>
      <c r="F28" s="357"/>
      <c r="G28" s="357"/>
      <c r="H28" s="357"/>
      <c r="I28" s="357"/>
      <c r="J28" s="357"/>
      <c r="K28" s="357"/>
      <c r="L28" s="357"/>
      <c r="M28" s="357"/>
      <c r="N28" s="356"/>
      <c r="O28" s="356"/>
      <c r="P28" s="356"/>
      <c r="Q28" s="356"/>
      <c r="R28" s="356"/>
    </row>
    <row r="29" spans="1:18" ht="60.75" customHeight="1">
      <c r="A29" s="344">
        <v>18</v>
      </c>
      <c r="B29" s="305" t="s">
        <v>266</v>
      </c>
      <c r="C29" s="354"/>
      <c r="D29" s="354"/>
      <c r="E29" s="366"/>
      <c r="F29" s="366"/>
      <c r="G29" s="366"/>
      <c r="H29" s="366"/>
      <c r="I29" s="366"/>
      <c r="J29" s="366"/>
      <c r="K29" s="366"/>
      <c r="L29" s="366"/>
      <c r="M29" s="366"/>
      <c r="N29" s="356"/>
      <c r="O29" s="356"/>
      <c r="P29" s="356"/>
      <c r="Q29" s="356"/>
      <c r="R29" s="356"/>
    </row>
    <row r="30" spans="1:18" ht="33.75" customHeight="1">
      <c r="A30" s="344">
        <v>19</v>
      </c>
      <c r="B30" s="305" t="s">
        <v>147</v>
      </c>
      <c r="C30" s="354">
        <f t="shared" si="0"/>
        <v>4</v>
      </c>
      <c r="D30" s="354">
        <f t="shared" si="0"/>
        <v>671</v>
      </c>
      <c r="E30" s="357"/>
      <c r="F30" s="357"/>
      <c r="G30" s="357"/>
      <c r="H30" s="357"/>
      <c r="I30" s="357"/>
      <c r="J30" s="357"/>
      <c r="K30" s="357"/>
      <c r="L30" s="357"/>
      <c r="M30" s="357">
        <v>4</v>
      </c>
      <c r="N30" s="356">
        <v>671</v>
      </c>
      <c r="O30" s="356"/>
      <c r="P30" s="360"/>
      <c r="Q30" s="360"/>
      <c r="R30" s="360"/>
    </row>
    <row r="31" spans="1:18" ht="31.5">
      <c r="A31" s="344">
        <v>20</v>
      </c>
      <c r="B31" s="26" t="s">
        <v>154</v>
      </c>
      <c r="C31" s="354">
        <f t="shared" si="0"/>
        <v>11</v>
      </c>
      <c r="D31" s="354">
        <f t="shared" si="0"/>
        <v>2098</v>
      </c>
      <c r="E31" s="357">
        <v>7</v>
      </c>
      <c r="F31" s="357">
        <v>634</v>
      </c>
      <c r="G31" s="357"/>
      <c r="H31" s="357"/>
      <c r="I31" s="357"/>
      <c r="J31" s="357"/>
      <c r="K31" s="357"/>
      <c r="L31" s="357"/>
      <c r="M31" s="357">
        <v>4</v>
      </c>
      <c r="N31" s="356">
        <v>1464</v>
      </c>
      <c r="O31" s="356"/>
      <c r="P31" s="356"/>
      <c r="Q31" s="356"/>
      <c r="R31" s="356"/>
    </row>
    <row r="32" spans="1:18" ht="30.75" customHeight="1">
      <c r="A32" s="344">
        <v>21</v>
      </c>
      <c r="B32" s="367" t="s">
        <v>159</v>
      </c>
      <c r="C32" s="354">
        <f t="shared" si="0"/>
        <v>11</v>
      </c>
      <c r="D32" s="354">
        <f t="shared" si="0"/>
        <v>486</v>
      </c>
      <c r="E32" s="355">
        <v>7</v>
      </c>
      <c r="F32" s="355">
        <v>294</v>
      </c>
      <c r="G32" s="355"/>
      <c r="H32" s="355"/>
      <c r="I32" s="355"/>
      <c r="J32" s="355"/>
      <c r="K32" s="355"/>
      <c r="L32" s="355"/>
      <c r="M32" s="355">
        <v>4</v>
      </c>
      <c r="N32" s="356">
        <v>192</v>
      </c>
      <c r="O32" s="356"/>
      <c r="P32" s="355"/>
      <c r="Q32" s="355"/>
      <c r="R32" s="355"/>
    </row>
    <row r="33" spans="1:18" s="365" customFormat="1" ht="24" customHeight="1">
      <c r="A33" s="292" t="s">
        <v>282</v>
      </c>
      <c r="B33" s="292"/>
      <c r="C33" s="351">
        <f>E33+M33</f>
        <v>9</v>
      </c>
      <c r="D33" s="351">
        <f t="shared" si="0"/>
        <v>843</v>
      </c>
      <c r="E33" s="352">
        <v>5</v>
      </c>
      <c r="F33" s="352">
        <f>F34</f>
        <v>428</v>
      </c>
      <c r="G33" s="352"/>
      <c r="H33" s="352"/>
      <c r="I33" s="352"/>
      <c r="J33" s="364"/>
      <c r="K33" s="364"/>
      <c r="L33" s="364"/>
      <c r="M33" s="364">
        <v>4</v>
      </c>
      <c r="N33" s="352">
        <f>N34</f>
        <v>415</v>
      </c>
      <c r="O33" s="352"/>
      <c r="P33" s="364"/>
      <c r="Q33" s="364"/>
      <c r="R33" s="364"/>
    </row>
    <row r="34" spans="1:18" ht="47.25" customHeight="1">
      <c r="A34" s="344">
        <v>22</v>
      </c>
      <c r="B34" s="299" t="s">
        <v>163</v>
      </c>
      <c r="C34" s="354">
        <f t="shared" si="0"/>
        <v>9</v>
      </c>
      <c r="D34" s="354">
        <f t="shared" si="0"/>
        <v>843</v>
      </c>
      <c r="E34" s="357">
        <v>5</v>
      </c>
      <c r="F34" s="357">
        <v>428</v>
      </c>
      <c r="G34" s="357"/>
      <c r="H34" s="357"/>
      <c r="I34" s="357"/>
      <c r="J34" s="357"/>
      <c r="K34" s="357"/>
      <c r="L34" s="357"/>
      <c r="M34" s="357">
        <v>4</v>
      </c>
      <c r="N34" s="356">
        <v>415</v>
      </c>
      <c r="O34" s="356"/>
      <c r="P34" s="356"/>
      <c r="Q34" s="356"/>
      <c r="R34" s="356"/>
    </row>
    <row r="35" spans="1:18" ht="24" customHeight="1">
      <c r="A35" s="344">
        <v>23</v>
      </c>
      <c r="B35" s="299" t="s">
        <v>167</v>
      </c>
      <c r="C35" s="354"/>
      <c r="D35" s="354"/>
      <c r="E35" s="357"/>
      <c r="F35" s="357"/>
      <c r="G35" s="357"/>
      <c r="H35" s="357"/>
      <c r="I35" s="357"/>
      <c r="J35" s="357"/>
      <c r="K35" s="357"/>
      <c r="L35" s="357"/>
      <c r="M35" s="357"/>
      <c r="N35" s="356"/>
      <c r="O35" s="356"/>
      <c r="P35" s="356"/>
      <c r="Q35" s="356"/>
      <c r="R35" s="356"/>
    </row>
    <row r="36" spans="1:18" ht="37.5" customHeight="1">
      <c r="A36" s="344">
        <v>24</v>
      </c>
      <c r="B36" s="191" t="s">
        <v>170</v>
      </c>
      <c r="C36" s="354"/>
      <c r="D36" s="354"/>
      <c r="E36" s="357"/>
      <c r="F36" s="357"/>
      <c r="G36" s="357"/>
      <c r="H36" s="357"/>
      <c r="I36" s="357"/>
      <c r="J36" s="357"/>
      <c r="K36" s="357"/>
      <c r="L36" s="357"/>
      <c r="M36" s="357"/>
      <c r="N36" s="356"/>
      <c r="O36" s="356"/>
      <c r="P36" s="355"/>
      <c r="Q36" s="355"/>
      <c r="R36" s="355"/>
    </row>
    <row r="37" spans="1:18" ht="24" customHeight="1">
      <c r="A37" s="349" t="s">
        <v>283</v>
      </c>
      <c r="B37" s="350"/>
      <c r="C37" s="351">
        <f t="shared" si="0"/>
        <v>11</v>
      </c>
      <c r="D37" s="351">
        <f t="shared" si="0"/>
        <v>292</v>
      </c>
      <c r="E37" s="351">
        <v>7</v>
      </c>
      <c r="F37" s="351">
        <f>SUM(F39:F40)</f>
        <v>148</v>
      </c>
      <c r="G37" s="351"/>
      <c r="H37" s="351"/>
      <c r="I37" s="351"/>
      <c r="J37" s="351"/>
      <c r="K37" s="351"/>
      <c r="L37" s="351"/>
      <c r="M37" s="351">
        <v>4</v>
      </c>
      <c r="N37" s="351">
        <f>SUM(N38:N40)</f>
        <v>144</v>
      </c>
      <c r="O37" s="351"/>
      <c r="P37" s="351"/>
      <c r="Q37" s="351"/>
      <c r="R37" s="351"/>
    </row>
    <row r="38" spans="1:18" ht="44.25" customHeight="1">
      <c r="A38" s="289">
        <v>25</v>
      </c>
      <c r="B38" s="368" t="s">
        <v>250</v>
      </c>
      <c r="C38" s="354">
        <f t="shared" si="0"/>
        <v>4</v>
      </c>
      <c r="D38" s="354">
        <f t="shared" si="0"/>
        <v>48</v>
      </c>
      <c r="E38" s="357"/>
      <c r="F38" s="357"/>
      <c r="G38" s="357"/>
      <c r="H38" s="357"/>
      <c r="I38" s="357"/>
      <c r="J38" s="357"/>
      <c r="K38" s="357"/>
      <c r="L38" s="357"/>
      <c r="M38" s="357">
        <v>4</v>
      </c>
      <c r="N38" s="355">
        <v>48</v>
      </c>
      <c r="O38" s="355"/>
      <c r="P38" s="355"/>
      <c r="Q38" s="355"/>
      <c r="R38" s="355"/>
    </row>
    <row r="39" spans="1:18" ht="33" customHeight="1">
      <c r="A39" s="289">
        <v>26</v>
      </c>
      <c r="B39" s="297" t="s">
        <v>180</v>
      </c>
      <c r="C39" s="354">
        <f t="shared" si="0"/>
        <v>11</v>
      </c>
      <c r="D39" s="354">
        <f t="shared" si="0"/>
        <v>122</v>
      </c>
      <c r="E39" s="357">
        <v>7</v>
      </c>
      <c r="F39" s="357">
        <v>74</v>
      </c>
      <c r="G39" s="357"/>
      <c r="H39" s="357"/>
      <c r="I39" s="357"/>
      <c r="J39" s="357"/>
      <c r="K39" s="357"/>
      <c r="L39" s="357"/>
      <c r="M39" s="357">
        <v>4</v>
      </c>
      <c r="N39" s="356">
        <v>48</v>
      </c>
      <c r="O39" s="356"/>
      <c r="P39" s="356"/>
      <c r="Q39" s="356"/>
      <c r="R39" s="356"/>
    </row>
    <row r="40" spans="1:18" ht="39" customHeight="1">
      <c r="A40" s="289">
        <v>27</v>
      </c>
      <c r="B40" s="369" t="s">
        <v>251</v>
      </c>
      <c r="C40" s="354">
        <f t="shared" si="0"/>
        <v>11</v>
      </c>
      <c r="D40" s="354">
        <f t="shared" si="0"/>
        <v>122</v>
      </c>
      <c r="E40" s="355">
        <v>7</v>
      </c>
      <c r="F40" s="355">
        <v>74</v>
      </c>
      <c r="G40" s="355"/>
      <c r="H40" s="355"/>
      <c r="I40" s="355"/>
      <c r="J40" s="355"/>
      <c r="K40" s="355"/>
      <c r="L40" s="355"/>
      <c r="M40" s="355">
        <v>4</v>
      </c>
      <c r="N40" s="356">
        <v>48</v>
      </c>
      <c r="O40" s="356"/>
      <c r="P40" s="356"/>
      <c r="Q40" s="356"/>
      <c r="R40" s="356"/>
    </row>
    <row r="41" spans="1:18" ht="51" customHeight="1">
      <c r="A41" s="292" t="s">
        <v>284</v>
      </c>
      <c r="B41" s="370" t="s">
        <v>285</v>
      </c>
      <c r="C41" s="351">
        <f t="shared" si="0"/>
        <v>7</v>
      </c>
      <c r="D41" s="351">
        <f t="shared" si="0"/>
        <v>687</v>
      </c>
      <c r="E41" s="351">
        <v>7</v>
      </c>
      <c r="F41" s="351">
        <f>SUM(F42:F45)</f>
        <v>687</v>
      </c>
      <c r="G41" s="351"/>
      <c r="H41" s="351"/>
      <c r="I41" s="351"/>
      <c r="J41" s="351"/>
      <c r="K41" s="351"/>
      <c r="L41" s="351"/>
      <c r="M41" s="351"/>
      <c r="N41" s="371"/>
      <c r="O41" s="371"/>
      <c r="P41" s="371"/>
      <c r="Q41" s="371"/>
      <c r="R41" s="371"/>
    </row>
    <row r="42" spans="1:20" ht="34.5" customHeight="1">
      <c r="A42" s="344">
        <v>28</v>
      </c>
      <c r="B42" s="299" t="s">
        <v>267</v>
      </c>
      <c r="C42" s="354"/>
      <c r="D42" s="354"/>
      <c r="E42" s="357"/>
      <c r="F42" s="357"/>
      <c r="G42" s="357"/>
      <c r="H42" s="357"/>
      <c r="I42" s="357"/>
      <c r="J42" s="357"/>
      <c r="K42" s="357"/>
      <c r="L42" s="357"/>
      <c r="M42" s="355"/>
      <c r="N42" s="356"/>
      <c r="O42" s="356"/>
      <c r="P42" s="356"/>
      <c r="Q42" s="356"/>
      <c r="R42" s="356"/>
      <c r="S42" s="348"/>
      <c r="T42" s="348"/>
    </row>
    <row r="43" spans="1:20" ht="31.5">
      <c r="A43" s="344">
        <v>29</v>
      </c>
      <c r="B43" s="341" t="s">
        <v>193</v>
      </c>
      <c r="C43" s="354">
        <f t="shared" si="0"/>
        <v>7</v>
      </c>
      <c r="D43" s="354">
        <f t="shared" si="0"/>
        <v>333</v>
      </c>
      <c r="E43" s="357">
        <v>7</v>
      </c>
      <c r="F43" s="357">
        <v>333</v>
      </c>
      <c r="G43" s="357"/>
      <c r="H43" s="357"/>
      <c r="I43" s="357"/>
      <c r="J43" s="357"/>
      <c r="K43" s="357"/>
      <c r="L43" s="357"/>
      <c r="M43" s="372"/>
      <c r="N43" s="373"/>
      <c r="O43" s="373"/>
      <c r="P43" s="373"/>
      <c r="Q43" s="373"/>
      <c r="R43" s="373"/>
      <c r="S43" s="348"/>
      <c r="T43" s="348"/>
    </row>
    <row r="44" spans="1:20" ht="20.25" customHeight="1">
      <c r="A44" s="344">
        <v>30</v>
      </c>
      <c r="B44" s="299" t="s">
        <v>197</v>
      </c>
      <c r="C44" s="354"/>
      <c r="D44" s="354"/>
      <c r="E44" s="357"/>
      <c r="F44" s="357"/>
      <c r="G44" s="357"/>
      <c r="H44" s="357"/>
      <c r="I44" s="357"/>
      <c r="J44" s="357"/>
      <c r="K44" s="357"/>
      <c r="L44" s="357"/>
      <c r="M44" s="357"/>
      <c r="N44" s="356"/>
      <c r="O44" s="356"/>
      <c r="P44" s="356"/>
      <c r="Q44" s="356"/>
      <c r="R44" s="356"/>
      <c r="S44" s="348"/>
      <c r="T44" s="348"/>
    </row>
    <row r="45" spans="1:20" ht="39.75" customHeight="1">
      <c r="A45" s="344">
        <v>31</v>
      </c>
      <c r="B45" s="299" t="s">
        <v>201</v>
      </c>
      <c r="C45" s="354">
        <f t="shared" si="0"/>
        <v>4</v>
      </c>
      <c r="D45" s="354">
        <f t="shared" si="0"/>
        <v>354</v>
      </c>
      <c r="E45" s="357">
        <v>4</v>
      </c>
      <c r="F45" s="357">
        <v>354</v>
      </c>
      <c r="G45" s="357"/>
      <c r="H45" s="357"/>
      <c r="I45" s="357"/>
      <c r="J45" s="357"/>
      <c r="K45" s="357"/>
      <c r="L45" s="357"/>
      <c r="M45" s="357"/>
      <c r="N45" s="356"/>
      <c r="O45" s="356"/>
      <c r="P45" s="356"/>
      <c r="Q45" s="356"/>
      <c r="R45" s="356"/>
      <c r="S45" s="348"/>
      <c r="T45" s="348"/>
    </row>
    <row r="46" spans="1:45" s="377" customFormat="1" ht="18.75" customHeight="1">
      <c r="A46" s="344">
        <v>32</v>
      </c>
      <c r="B46" s="374" t="s">
        <v>234</v>
      </c>
      <c r="C46" s="375">
        <f>E46+M46</f>
        <v>15</v>
      </c>
      <c r="D46" s="375">
        <f>D41+D37+D33+D27+D23+D16+D8</f>
        <v>26745</v>
      </c>
      <c r="E46" s="375">
        <v>7</v>
      </c>
      <c r="F46" s="375">
        <f>F41+F37+F33+F27+F23+F16+F8</f>
        <v>11850</v>
      </c>
      <c r="G46" s="375"/>
      <c r="H46" s="375"/>
      <c r="I46" s="375"/>
      <c r="J46" s="375"/>
      <c r="K46" s="375"/>
      <c r="L46" s="375"/>
      <c r="M46" s="375">
        <f>M23</f>
        <v>8</v>
      </c>
      <c r="N46" s="375">
        <f>N41+N37+N33+N27+N23+N16+N8</f>
        <v>14895</v>
      </c>
      <c r="O46" s="375"/>
      <c r="P46" s="375"/>
      <c r="Q46" s="375"/>
      <c r="R46" s="375"/>
      <c r="S46" s="37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</row>
    <row r="47" ht="15.75">
      <c r="D47" s="378"/>
    </row>
  </sheetData>
  <sheetProtection/>
  <mergeCells count="15">
    <mergeCell ref="O1:R1"/>
    <mergeCell ref="A2:R2"/>
    <mergeCell ref="A3:R3"/>
    <mergeCell ref="A4:A7"/>
    <mergeCell ref="B4:B7"/>
    <mergeCell ref="C4:D6"/>
    <mergeCell ref="E4:R4"/>
    <mergeCell ref="E5:L5"/>
    <mergeCell ref="M5:R5"/>
    <mergeCell ref="E6:H6"/>
    <mergeCell ref="I6:J6"/>
    <mergeCell ref="K6:L6"/>
    <mergeCell ref="M6:N6"/>
    <mergeCell ref="O6:P6"/>
    <mergeCell ref="Q6:R6"/>
  </mergeCells>
  <printOptions/>
  <pageMargins left="0" right="0" top="0" bottom="0" header="0.31496062992125984" footer="0.31496062992125984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80" zoomScaleNormal="80" zoomScalePageLayoutView="0" workbookViewId="0" topLeftCell="A46">
      <selection activeCell="N7" sqref="N7"/>
    </sheetView>
  </sheetViews>
  <sheetFormatPr defaultColWidth="9.140625" defaultRowHeight="15"/>
  <cols>
    <col min="1" max="1" width="6.7109375" style="0" customWidth="1"/>
    <col min="2" max="2" width="54.57421875" style="0" customWidth="1"/>
    <col min="7" max="7" width="9.140625" style="288" customWidth="1"/>
    <col min="8" max="8" width="11.140625" style="288" customWidth="1"/>
    <col min="9" max="11" width="9.140625" style="288" customWidth="1"/>
    <col min="12" max="12" width="12.00390625" style="288" customWidth="1"/>
    <col min="13" max="18" width="9.140625" style="0" customWidth="1"/>
  </cols>
  <sheetData>
    <row r="1" spans="1:18" ht="15.75">
      <c r="A1" s="310"/>
      <c r="B1" s="310"/>
      <c r="C1" s="310"/>
      <c r="D1" s="310"/>
      <c r="E1" s="311"/>
      <c r="F1" s="311"/>
      <c r="G1" s="311"/>
      <c r="H1" s="311"/>
      <c r="I1" s="311"/>
      <c r="J1" s="311"/>
      <c r="K1" s="310"/>
      <c r="L1" s="310"/>
      <c r="M1" s="310"/>
      <c r="N1" s="492"/>
      <c r="O1" s="492"/>
      <c r="P1" s="492"/>
      <c r="Q1" s="492"/>
      <c r="R1" s="492"/>
    </row>
    <row r="2" spans="1:18" ht="36" customHeight="1">
      <c r="A2" s="469" t="s">
        <v>315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1"/>
    </row>
    <row r="3" spans="1:18" ht="15.75">
      <c r="A3" s="472" t="s">
        <v>302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4"/>
    </row>
    <row r="4" spans="1:18" ht="15">
      <c r="A4" s="493" t="s">
        <v>18</v>
      </c>
      <c r="B4" s="494" t="s">
        <v>257</v>
      </c>
      <c r="C4" s="495" t="s">
        <v>276</v>
      </c>
      <c r="D4" s="496"/>
      <c r="E4" s="499" t="s">
        <v>305</v>
      </c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1"/>
    </row>
    <row r="5" spans="1:18" ht="57.75" customHeight="1">
      <c r="A5" s="493"/>
      <c r="B5" s="494"/>
      <c r="C5" s="497"/>
      <c r="D5" s="498"/>
      <c r="E5" s="499" t="s">
        <v>299</v>
      </c>
      <c r="F5" s="500"/>
      <c r="G5" s="500"/>
      <c r="H5" s="501"/>
      <c r="I5" s="499" t="s">
        <v>300</v>
      </c>
      <c r="J5" s="500"/>
      <c r="K5" s="500"/>
      <c r="L5" s="501"/>
      <c r="M5" s="490" t="s">
        <v>296</v>
      </c>
      <c r="N5" s="491"/>
      <c r="O5" s="490" t="s">
        <v>294</v>
      </c>
      <c r="P5" s="491"/>
      <c r="Q5" s="490" t="s">
        <v>303</v>
      </c>
      <c r="R5" s="491"/>
    </row>
    <row r="6" spans="1:18" ht="146.25" customHeight="1">
      <c r="A6" s="493"/>
      <c r="B6" s="494"/>
      <c r="C6" s="294" t="s">
        <v>286</v>
      </c>
      <c r="D6" s="294" t="s">
        <v>279</v>
      </c>
      <c r="E6" s="336" t="s">
        <v>286</v>
      </c>
      <c r="F6" s="336" t="s">
        <v>279</v>
      </c>
      <c r="G6" s="337" t="s">
        <v>293</v>
      </c>
      <c r="H6" s="337" t="s">
        <v>279</v>
      </c>
      <c r="I6" s="338" t="s">
        <v>286</v>
      </c>
      <c r="J6" s="338" t="s">
        <v>279</v>
      </c>
      <c r="K6" s="337" t="s">
        <v>310</v>
      </c>
      <c r="L6" s="337" t="s">
        <v>279</v>
      </c>
      <c r="M6" s="336" t="s">
        <v>286</v>
      </c>
      <c r="N6" s="334" t="s">
        <v>279</v>
      </c>
      <c r="O6" s="336" t="s">
        <v>286</v>
      </c>
      <c r="P6" s="334" t="s">
        <v>279</v>
      </c>
      <c r="Q6" s="336" t="s">
        <v>286</v>
      </c>
      <c r="R6" s="336" t="s">
        <v>279</v>
      </c>
    </row>
    <row r="7" spans="1:18" ht="15.75">
      <c r="A7" s="295" t="s">
        <v>304</v>
      </c>
      <c r="B7" s="292"/>
      <c r="C7" s="318">
        <f>E7+I7+M7+O7+Q7</f>
        <v>229</v>
      </c>
      <c r="D7" s="318">
        <f>F7+J7+N7</f>
        <v>88391</v>
      </c>
      <c r="E7" s="318">
        <v>168</v>
      </c>
      <c r="F7" s="318">
        <f>SUM(F8:F18)</f>
        <v>37733</v>
      </c>
      <c r="G7" s="318">
        <v>6</v>
      </c>
      <c r="H7" s="318">
        <f>SUM(H8:H18)</f>
        <v>3334</v>
      </c>
      <c r="I7" s="318">
        <v>60</v>
      </c>
      <c r="J7" s="318">
        <f>SUM(J8:J18)</f>
        <v>50506</v>
      </c>
      <c r="K7" s="318">
        <v>3</v>
      </c>
      <c r="L7" s="318">
        <f>SUM(L8:L18)</f>
        <v>2378</v>
      </c>
      <c r="M7" s="318">
        <v>1</v>
      </c>
      <c r="N7" s="318">
        <f>SUM(N8:N18)</f>
        <v>152</v>
      </c>
      <c r="O7" s="318"/>
      <c r="P7" s="318"/>
      <c r="Q7" s="318"/>
      <c r="R7" s="318"/>
    </row>
    <row r="8" spans="1:18" ht="66" customHeight="1">
      <c r="A8" s="289">
        <v>1</v>
      </c>
      <c r="B8" s="296" t="s">
        <v>268</v>
      </c>
      <c r="C8" s="318">
        <f aca="true" t="shared" si="0" ref="C8:C54">E8+I8+M8+O8+Q8</f>
        <v>193</v>
      </c>
      <c r="D8" s="318">
        <f>F8+J8+N8</f>
        <v>20736</v>
      </c>
      <c r="E8" s="320">
        <v>148</v>
      </c>
      <c r="F8" s="320">
        <v>14616</v>
      </c>
      <c r="G8" s="320">
        <v>6</v>
      </c>
      <c r="H8" s="320">
        <v>1985</v>
      </c>
      <c r="I8" s="320">
        <v>45</v>
      </c>
      <c r="J8" s="320">
        <v>6120</v>
      </c>
      <c r="K8" s="320">
        <v>3</v>
      </c>
      <c r="L8" s="321">
        <v>468</v>
      </c>
      <c r="M8" s="315"/>
      <c r="N8" s="316"/>
      <c r="O8" s="315"/>
      <c r="P8" s="315"/>
      <c r="Q8" s="315"/>
      <c r="R8" s="315"/>
    </row>
    <row r="9" spans="1:18" ht="20.25" customHeight="1">
      <c r="A9" s="290">
        <v>2</v>
      </c>
      <c r="B9" s="297" t="s">
        <v>269</v>
      </c>
      <c r="C9" s="318">
        <f t="shared" si="0"/>
        <v>154</v>
      </c>
      <c r="D9" s="318">
        <f aca="true" t="shared" si="1" ref="D9:D16">F9+J9+N9</f>
        <v>15380</v>
      </c>
      <c r="E9" s="320">
        <v>103</v>
      </c>
      <c r="F9" s="320">
        <v>10074</v>
      </c>
      <c r="G9" s="320">
        <v>6</v>
      </c>
      <c r="H9" s="320">
        <v>624</v>
      </c>
      <c r="I9" s="320">
        <v>51</v>
      </c>
      <c r="J9" s="320">
        <v>5306</v>
      </c>
      <c r="K9" s="320">
        <v>3</v>
      </c>
      <c r="L9" s="321">
        <v>312</v>
      </c>
      <c r="M9" s="315"/>
      <c r="N9" s="316"/>
      <c r="O9" s="315"/>
      <c r="P9" s="315"/>
      <c r="Q9" s="315"/>
      <c r="R9" s="315"/>
    </row>
    <row r="10" spans="1:18" ht="42" customHeight="1">
      <c r="A10" s="290">
        <v>3</v>
      </c>
      <c r="B10" s="297" t="s">
        <v>270</v>
      </c>
      <c r="C10" s="318">
        <f t="shared" si="0"/>
        <v>178</v>
      </c>
      <c r="D10" s="318">
        <f t="shared" si="1"/>
        <v>3976</v>
      </c>
      <c r="E10" s="320">
        <v>133</v>
      </c>
      <c r="F10" s="322">
        <v>2925</v>
      </c>
      <c r="G10" s="322">
        <v>6</v>
      </c>
      <c r="H10" s="322">
        <v>144</v>
      </c>
      <c r="I10" s="322">
        <v>45</v>
      </c>
      <c r="J10" s="322">
        <v>1051</v>
      </c>
      <c r="K10" s="322">
        <v>3</v>
      </c>
      <c r="L10" s="323">
        <v>60</v>
      </c>
      <c r="M10" s="315"/>
      <c r="N10" s="316"/>
      <c r="O10" s="315"/>
      <c r="P10" s="315"/>
      <c r="Q10" s="315"/>
      <c r="R10" s="315"/>
    </row>
    <row r="11" spans="1:18" ht="48" customHeight="1">
      <c r="A11" s="289">
        <v>4</v>
      </c>
      <c r="B11" s="298" t="s">
        <v>271</v>
      </c>
      <c r="C11" s="318">
        <f t="shared" si="0"/>
        <v>7</v>
      </c>
      <c r="D11" s="318">
        <f t="shared" si="1"/>
        <v>80</v>
      </c>
      <c r="E11" s="320">
        <v>5</v>
      </c>
      <c r="F11" s="320">
        <v>56</v>
      </c>
      <c r="G11" s="320">
        <v>0</v>
      </c>
      <c r="H11" s="320">
        <v>0</v>
      </c>
      <c r="I11" s="320">
        <v>2</v>
      </c>
      <c r="J11" s="320">
        <v>24</v>
      </c>
      <c r="K11" s="320">
        <v>0</v>
      </c>
      <c r="L11" s="321">
        <v>0</v>
      </c>
      <c r="M11" s="315"/>
      <c r="N11" s="316"/>
      <c r="O11" s="315"/>
      <c r="P11" s="315"/>
      <c r="Q11" s="315"/>
      <c r="R11" s="315"/>
    </row>
    <row r="12" spans="1:18" ht="63.75" customHeight="1">
      <c r="A12" s="290">
        <v>5</v>
      </c>
      <c r="B12" s="298" t="s">
        <v>272</v>
      </c>
      <c r="C12" s="318">
        <f t="shared" si="0"/>
        <v>0</v>
      </c>
      <c r="D12" s="318">
        <f t="shared" si="1"/>
        <v>0</v>
      </c>
      <c r="E12" s="320"/>
      <c r="F12" s="320"/>
      <c r="G12" s="320"/>
      <c r="H12" s="320"/>
      <c r="I12" s="320"/>
      <c r="J12" s="320"/>
      <c r="K12" s="320"/>
      <c r="L12" s="321"/>
      <c r="M12" s="315"/>
      <c r="N12" s="316"/>
      <c r="O12" s="315"/>
      <c r="P12" s="315"/>
      <c r="Q12" s="315"/>
      <c r="R12" s="315"/>
    </row>
    <row r="13" spans="1:18" ht="39" customHeight="1">
      <c r="A13" s="289">
        <v>6</v>
      </c>
      <c r="B13" s="298" t="s">
        <v>273</v>
      </c>
      <c r="C13" s="380">
        <f>E13+I13+M13+O13+Q13</f>
        <v>91</v>
      </c>
      <c r="D13" s="318">
        <f t="shared" si="1"/>
        <v>152</v>
      </c>
      <c r="E13" s="320">
        <v>76</v>
      </c>
      <c r="F13" s="320">
        <v>122</v>
      </c>
      <c r="G13" s="320">
        <v>3</v>
      </c>
      <c r="H13" s="320">
        <v>5</v>
      </c>
      <c r="I13" s="320">
        <v>15</v>
      </c>
      <c r="J13" s="320">
        <v>30</v>
      </c>
      <c r="K13" s="320">
        <v>1</v>
      </c>
      <c r="L13" s="321">
        <v>2</v>
      </c>
      <c r="M13" s="315"/>
      <c r="N13" s="316"/>
      <c r="O13" s="315"/>
      <c r="P13" s="315"/>
      <c r="Q13" s="315"/>
      <c r="R13" s="315"/>
    </row>
    <row r="14" spans="1:18" ht="20.25" customHeight="1">
      <c r="A14" s="290">
        <v>7</v>
      </c>
      <c r="B14" s="298" t="s">
        <v>274</v>
      </c>
      <c r="C14" s="318">
        <f t="shared" si="0"/>
        <v>1</v>
      </c>
      <c r="D14" s="318">
        <f t="shared" si="1"/>
        <v>152</v>
      </c>
      <c r="E14" s="320"/>
      <c r="F14" s="320"/>
      <c r="G14" s="320"/>
      <c r="H14" s="320"/>
      <c r="I14" s="320"/>
      <c r="J14" s="320"/>
      <c r="K14" s="320"/>
      <c r="L14" s="321"/>
      <c r="M14" s="315">
        <v>1</v>
      </c>
      <c r="N14" s="316">
        <v>152</v>
      </c>
      <c r="O14" s="315"/>
      <c r="P14" s="315"/>
      <c r="Q14" s="315"/>
      <c r="R14" s="315"/>
    </row>
    <row r="15" spans="1:18" ht="18.75" customHeight="1">
      <c r="A15" s="289">
        <v>8</v>
      </c>
      <c r="B15" s="298" t="s">
        <v>275</v>
      </c>
      <c r="C15" s="318">
        <f t="shared" si="0"/>
        <v>197</v>
      </c>
      <c r="D15" s="318">
        <f t="shared" si="1"/>
        <v>4707</v>
      </c>
      <c r="E15" s="320">
        <v>146</v>
      </c>
      <c r="F15" s="320">
        <v>3482</v>
      </c>
      <c r="G15" s="320">
        <v>6</v>
      </c>
      <c r="H15" s="320">
        <v>144</v>
      </c>
      <c r="I15" s="320">
        <v>51</v>
      </c>
      <c r="J15" s="320">
        <v>1225</v>
      </c>
      <c r="K15" s="320">
        <v>3</v>
      </c>
      <c r="L15" s="321">
        <v>72</v>
      </c>
      <c r="M15" s="315"/>
      <c r="N15" s="316"/>
      <c r="O15" s="315"/>
      <c r="P15" s="315"/>
      <c r="Q15" s="315"/>
      <c r="R15" s="315"/>
    </row>
    <row r="16" spans="1:18" ht="21" customHeight="1">
      <c r="A16" s="290">
        <v>9</v>
      </c>
      <c r="B16" s="297" t="s">
        <v>253</v>
      </c>
      <c r="C16" s="318">
        <f>E16+I16+M16+O16+Q16</f>
        <v>60</v>
      </c>
      <c r="D16" s="318">
        <f t="shared" si="1"/>
        <v>19234</v>
      </c>
      <c r="E16" s="324"/>
      <c r="F16" s="324"/>
      <c r="G16" s="324"/>
      <c r="H16" s="324"/>
      <c r="I16" s="324">
        <v>60</v>
      </c>
      <c r="J16" s="324">
        <v>19234</v>
      </c>
      <c r="K16" s="324">
        <v>2</v>
      </c>
      <c r="L16" s="324">
        <v>672</v>
      </c>
      <c r="M16" s="315"/>
      <c r="N16" s="316"/>
      <c r="O16" s="315"/>
      <c r="P16" s="315"/>
      <c r="Q16" s="315"/>
      <c r="R16" s="315"/>
    </row>
    <row r="17" spans="1:18" ht="51" customHeight="1">
      <c r="A17" s="289">
        <v>10</v>
      </c>
      <c r="B17" s="298" t="s">
        <v>252</v>
      </c>
      <c r="C17" s="318">
        <f t="shared" si="0"/>
        <v>161</v>
      </c>
      <c r="D17" s="318">
        <f>F17+J17</f>
        <v>23650</v>
      </c>
      <c r="E17" s="320">
        <v>105</v>
      </c>
      <c r="F17" s="320">
        <v>6170</v>
      </c>
      <c r="G17" s="320">
        <v>6</v>
      </c>
      <c r="H17" s="320">
        <v>432</v>
      </c>
      <c r="I17" s="320">
        <v>56</v>
      </c>
      <c r="J17" s="320">
        <v>17480</v>
      </c>
      <c r="K17" s="320">
        <v>3</v>
      </c>
      <c r="L17" s="321">
        <v>792</v>
      </c>
      <c r="M17" s="315"/>
      <c r="N17" s="316"/>
      <c r="O17" s="315"/>
      <c r="P17" s="315"/>
      <c r="Q17" s="315"/>
      <c r="R17" s="315"/>
    </row>
    <row r="18" spans="1:18" ht="34.5" customHeight="1">
      <c r="A18" s="335">
        <v>11</v>
      </c>
      <c r="B18" s="297" t="s">
        <v>88</v>
      </c>
      <c r="C18" s="318">
        <f t="shared" si="0"/>
        <v>27</v>
      </c>
      <c r="D18" s="318">
        <f>F18+J18</f>
        <v>324</v>
      </c>
      <c r="E18" s="324">
        <v>24</v>
      </c>
      <c r="F18" s="324">
        <v>288</v>
      </c>
      <c r="G18" s="324">
        <v>0</v>
      </c>
      <c r="H18" s="324">
        <v>0</v>
      </c>
      <c r="I18" s="324">
        <v>3</v>
      </c>
      <c r="J18" s="324">
        <v>36</v>
      </c>
      <c r="K18" s="324">
        <v>0</v>
      </c>
      <c r="L18" s="324">
        <v>0</v>
      </c>
      <c r="M18" s="315"/>
      <c r="N18" s="316"/>
      <c r="O18" s="315"/>
      <c r="P18" s="315"/>
      <c r="Q18" s="315"/>
      <c r="R18" s="315"/>
    </row>
    <row r="19" spans="1:18" ht="15.75">
      <c r="A19" s="292" t="s">
        <v>307</v>
      </c>
      <c r="B19" s="292" t="s">
        <v>297</v>
      </c>
      <c r="C19" s="318">
        <f t="shared" si="0"/>
        <v>204</v>
      </c>
      <c r="D19" s="325">
        <f>SUM(D20:D25)</f>
        <v>54873</v>
      </c>
      <c r="E19" s="325">
        <v>144</v>
      </c>
      <c r="F19" s="325">
        <f>SUM(F20:F25)</f>
        <v>28183</v>
      </c>
      <c r="G19" s="325">
        <v>6</v>
      </c>
      <c r="H19" s="325">
        <f>SUM(H20:H25)</f>
        <v>1260</v>
      </c>
      <c r="I19" s="325">
        <v>60</v>
      </c>
      <c r="J19" s="325">
        <f>SUM(J20:J25)</f>
        <v>26690</v>
      </c>
      <c r="K19" s="325">
        <v>3</v>
      </c>
      <c r="L19" s="325">
        <f>SUM(L20:L25)</f>
        <v>1046</v>
      </c>
      <c r="M19" s="318"/>
      <c r="N19" s="318"/>
      <c r="O19" s="318"/>
      <c r="P19" s="318"/>
      <c r="Q19" s="318"/>
      <c r="R19" s="318"/>
    </row>
    <row r="20" spans="1:18" ht="79.5" customHeight="1">
      <c r="A20" s="335">
        <v>12</v>
      </c>
      <c r="B20" s="299" t="s">
        <v>256</v>
      </c>
      <c r="C20" s="318">
        <f>E20+I20+M20+O20+Q20</f>
        <v>204</v>
      </c>
      <c r="D20" s="381">
        <f>F20+J20</f>
        <v>27020</v>
      </c>
      <c r="E20" s="320">
        <v>144</v>
      </c>
      <c r="F20" s="320">
        <v>13408</v>
      </c>
      <c r="G20" s="320">
        <v>6</v>
      </c>
      <c r="H20" s="320">
        <v>624</v>
      </c>
      <c r="I20" s="320">
        <v>60</v>
      </c>
      <c r="J20" s="320">
        <v>13612</v>
      </c>
      <c r="K20" s="320">
        <v>3</v>
      </c>
      <c r="L20" s="321">
        <v>576</v>
      </c>
      <c r="M20" s="315"/>
      <c r="N20" s="316"/>
      <c r="O20" s="315"/>
      <c r="P20" s="315"/>
      <c r="Q20" s="315"/>
      <c r="R20" s="315"/>
    </row>
    <row r="21" spans="1:18" ht="37.5" customHeight="1">
      <c r="A21" s="335">
        <v>13</v>
      </c>
      <c r="B21" s="300" t="s">
        <v>254</v>
      </c>
      <c r="C21" s="318">
        <f t="shared" si="0"/>
        <v>11</v>
      </c>
      <c r="D21" s="381">
        <f>F21+J21</f>
        <v>19</v>
      </c>
      <c r="E21" s="324">
        <v>11</v>
      </c>
      <c r="F21" s="324">
        <v>19</v>
      </c>
      <c r="G21" s="324">
        <v>0</v>
      </c>
      <c r="H21" s="324">
        <v>0</v>
      </c>
      <c r="I21" s="324">
        <v>0</v>
      </c>
      <c r="J21" s="324">
        <v>0</v>
      </c>
      <c r="K21" s="324">
        <v>0</v>
      </c>
      <c r="L21" s="324">
        <v>0</v>
      </c>
      <c r="M21" s="315"/>
      <c r="N21" s="315"/>
      <c r="O21" s="315"/>
      <c r="P21" s="315"/>
      <c r="Q21" s="315"/>
      <c r="R21" s="315"/>
    </row>
    <row r="22" spans="1:18" ht="47.25" customHeight="1">
      <c r="A22" s="335">
        <v>14</v>
      </c>
      <c r="B22" s="301" t="s">
        <v>117</v>
      </c>
      <c r="C22" s="318">
        <f t="shared" si="0"/>
        <v>201</v>
      </c>
      <c r="D22" s="381">
        <f>F22+J22</f>
        <v>25020</v>
      </c>
      <c r="E22" s="320">
        <v>141</v>
      </c>
      <c r="F22" s="320">
        <v>13426</v>
      </c>
      <c r="G22" s="320">
        <v>6</v>
      </c>
      <c r="H22" s="320">
        <v>624</v>
      </c>
      <c r="I22" s="327">
        <v>60</v>
      </c>
      <c r="J22" s="320">
        <v>11594</v>
      </c>
      <c r="K22" s="327">
        <v>3</v>
      </c>
      <c r="L22" s="321">
        <v>468</v>
      </c>
      <c r="M22" s="315"/>
      <c r="N22" s="316"/>
      <c r="O22" s="315"/>
      <c r="P22" s="315"/>
      <c r="Q22" s="315"/>
      <c r="R22" s="315"/>
    </row>
    <row r="23" spans="1:18" ht="33.75" customHeight="1">
      <c r="A23" s="335">
        <v>15</v>
      </c>
      <c r="B23" s="302" t="s">
        <v>129</v>
      </c>
      <c r="C23" s="318">
        <f t="shared" si="0"/>
        <v>37</v>
      </c>
      <c r="D23" s="381">
        <f>F23+J23</f>
        <v>1872</v>
      </c>
      <c r="E23" s="320">
        <v>15</v>
      </c>
      <c r="F23" s="320">
        <v>728</v>
      </c>
      <c r="G23" s="320">
        <v>0</v>
      </c>
      <c r="H23" s="320">
        <v>0</v>
      </c>
      <c r="I23" s="320">
        <v>22</v>
      </c>
      <c r="J23" s="320">
        <v>1144</v>
      </c>
      <c r="K23" s="320">
        <v>0</v>
      </c>
      <c r="L23" s="321">
        <v>0</v>
      </c>
      <c r="M23" s="315"/>
      <c r="N23" s="316"/>
      <c r="O23" s="315"/>
      <c r="P23" s="315"/>
      <c r="Q23" s="315"/>
      <c r="R23" s="315"/>
    </row>
    <row r="24" spans="1:18" ht="18" customHeight="1">
      <c r="A24" s="335">
        <v>16</v>
      </c>
      <c r="B24" s="299" t="s">
        <v>132</v>
      </c>
      <c r="C24" s="319">
        <f t="shared" si="0"/>
        <v>12</v>
      </c>
      <c r="D24" s="326">
        <f>F24+J24</f>
        <v>624</v>
      </c>
      <c r="E24" s="320">
        <v>7</v>
      </c>
      <c r="F24" s="320">
        <v>364</v>
      </c>
      <c r="G24" s="320">
        <v>0</v>
      </c>
      <c r="H24" s="320">
        <v>0</v>
      </c>
      <c r="I24" s="320">
        <v>5</v>
      </c>
      <c r="J24" s="320">
        <v>260</v>
      </c>
      <c r="K24" s="320">
        <v>0</v>
      </c>
      <c r="L24" s="321">
        <v>0</v>
      </c>
      <c r="M24" s="315"/>
      <c r="N24" s="316"/>
      <c r="O24" s="315"/>
      <c r="P24" s="315"/>
      <c r="Q24" s="315"/>
      <c r="R24" s="315"/>
    </row>
    <row r="25" spans="1:18" ht="81.75" customHeight="1">
      <c r="A25" s="335">
        <v>17</v>
      </c>
      <c r="B25" s="303" t="s">
        <v>249</v>
      </c>
      <c r="C25" s="318">
        <f>E25+I25+M25+O25+Q25</f>
        <v>159</v>
      </c>
      <c r="D25" s="381">
        <f>F25+J25</f>
        <v>318</v>
      </c>
      <c r="E25" s="324">
        <v>119</v>
      </c>
      <c r="F25" s="324">
        <v>238</v>
      </c>
      <c r="G25" s="324">
        <v>6</v>
      </c>
      <c r="H25" s="324">
        <v>12</v>
      </c>
      <c r="I25" s="324">
        <v>40</v>
      </c>
      <c r="J25" s="324">
        <v>80</v>
      </c>
      <c r="K25" s="324">
        <v>1</v>
      </c>
      <c r="L25" s="324">
        <v>2</v>
      </c>
      <c r="M25" s="315"/>
      <c r="N25" s="316"/>
      <c r="O25" s="315"/>
      <c r="P25" s="315"/>
      <c r="Q25" s="315"/>
      <c r="R25" s="315"/>
    </row>
    <row r="26" spans="1:18" ht="15.75">
      <c r="A26" s="292" t="s">
        <v>308</v>
      </c>
      <c r="B26" s="292" t="s">
        <v>295</v>
      </c>
      <c r="C26" s="318">
        <f t="shared" si="0"/>
        <v>224</v>
      </c>
      <c r="D26" s="325">
        <f>D28</f>
        <v>2572</v>
      </c>
      <c r="E26" s="325">
        <f aca="true" t="shared" si="2" ref="E26:L26">E28</f>
        <v>168</v>
      </c>
      <c r="F26" s="325">
        <f t="shared" si="2"/>
        <v>1922</v>
      </c>
      <c r="G26" s="325">
        <f t="shared" si="2"/>
        <v>6</v>
      </c>
      <c r="H26" s="325">
        <f t="shared" si="2"/>
        <v>72</v>
      </c>
      <c r="I26" s="325">
        <f t="shared" si="2"/>
        <v>56</v>
      </c>
      <c r="J26" s="325">
        <f t="shared" si="2"/>
        <v>650</v>
      </c>
      <c r="K26" s="325">
        <f t="shared" si="2"/>
        <v>3</v>
      </c>
      <c r="L26" s="325">
        <f t="shared" si="2"/>
        <v>36</v>
      </c>
      <c r="M26" s="318"/>
      <c r="N26" s="318"/>
      <c r="O26" s="318"/>
      <c r="P26" s="318"/>
      <c r="Q26" s="318"/>
      <c r="R26" s="318"/>
    </row>
    <row r="27" spans="1:18" ht="33.75" customHeight="1">
      <c r="A27" s="335">
        <v>18</v>
      </c>
      <c r="B27" s="297" t="s">
        <v>137</v>
      </c>
      <c r="C27" s="318">
        <f>E27+I27+M27+O27+Q27</f>
        <v>0</v>
      </c>
      <c r="D27" s="381">
        <f>F27+J27</f>
        <v>0</v>
      </c>
      <c r="E27" s="320"/>
      <c r="F27" s="320"/>
      <c r="G27" s="320"/>
      <c r="H27" s="320"/>
      <c r="I27" s="320"/>
      <c r="J27" s="320"/>
      <c r="K27" s="320"/>
      <c r="L27" s="321"/>
      <c r="M27" s="315"/>
      <c r="N27" s="316"/>
      <c r="O27" s="315"/>
      <c r="P27" s="315"/>
      <c r="Q27" s="315"/>
      <c r="R27" s="315"/>
    </row>
    <row r="28" spans="1:18" ht="15.75">
      <c r="A28" s="335">
        <v>19</v>
      </c>
      <c r="B28" s="304" t="s">
        <v>142</v>
      </c>
      <c r="C28" s="318">
        <f t="shared" si="0"/>
        <v>224</v>
      </c>
      <c r="D28" s="381">
        <f>F28+J28</f>
        <v>2572</v>
      </c>
      <c r="E28" s="320">
        <v>168</v>
      </c>
      <c r="F28" s="320">
        <v>1922</v>
      </c>
      <c r="G28" s="320">
        <v>6</v>
      </c>
      <c r="H28" s="320">
        <v>72</v>
      </c>
      <c r="I28" s="320">
        <v>56</v>
      </c>
      <c r="J28" s="320">
        <v>650</v>
      </c>
      <c r="K28" s="320">
        <v>3</v>
      </c>
      <c r="L28" s="321">
        <v>36</v>
      </c>
      <c r="M28" s="315"/>
      <c r="N28" s="316"/>
      <c r="O28" s="315"/>
      <c r="P28" s="315"/>
      <c r="Q28" s="315"/>
      <c r="R28" s="315"/>
    </row>
    <row r="29" spans="1:18" ht="48.75" customHeight="1">
      <c r="A29" s="335">
        <v>20</v>
      </c>
      <c r="B29" s="305" t="s">
        <v>264</v>
      </c>
      <c r="C29" s="318">
        <f t="shared" si="0"/>
        <v>0</v>
      </c>
      <c r="D29" s="381">
        <f>F29+J29</f>
        <v>0</v>
      </c>
      <c r="E29" s="324"/>
      <c r="F29" s="324"/>
      <c r="G29" s="324"/>
      <c r="H29" s="324"/>
      <c r="I29" s="324"/>
      <c r="J29" s="324"/>
      <c r="K29" s="324"/>
      <c r="L29" s="324"/>
      <c r="M29" s="315"/>
      <c r="N29" s="316"/>
      <c r="O29" s="315"/>
      <c r="P29" s="315"/>
      <c r="Q29" s="315"/>
      <c r="R29" s="315"/>
    </row>
    <row r="30" spans="1:18" ht="15.75">
      <c r="A30" s="292" t="s">
        <v>281</v>
      </c>
      <c r="B30" s="292"/>
      <c r="C30" s="325">
        <f>E30+I30+M30+O30+Q30</f>
        <v>139</v>
      </c>
      <c r="D30" s="325">
        <f>D31+D34</f>
        <v>310</v>
      </c>
      <c r="E30" s="325">
        <v>111</v>
      </c>
      <c r="F30" s="325">
        <f>F31+F34</f>
        <v>222</v>
      </c>
      <c r="G30" s="325">
        <v>2</v>
      </c>
      <c r="H30" s="325">
        <f>H31+H34</f>
        <v>4</v>
      </c>
      <c r="I30" s="325">
        <v>28</v>
      </c>
      <c r="J30" s="325">
        <f>J31+J34</f>
        <v>88</v>
      </c>
      <c r="K30" s="325">
        <v>1</v>
      </c>
      <c r="L30" s="325">
        <f>L31+L34</f>
        <v>2</v>
      </c>
      <c r="M30" s="318"/>
      <c r="N30" s="318"/>
      <c r="O30" s="318"/>
      <c r="P30" s="318"/>
      <c r="Q30" s="318"/>
      <c r="R30" s="318"/>
    </row>
    <row r="31" spans="1:18" ht="72" customHeight="1">
      <c r="A31" s="335">
        <v>21</v>
      </c>
      <c r="B31" s="305" t="s">
        <v>265</v>
      </c>
      <c r="C31" s="318">
        <f t="shared" si="0"/>
        <v>28</v>
      </c>
      <c r="D31" s="381">
        <f>F31+J31</f>
        <v>56</v>
      </c>
      <c r="E31" s="320"/>
      <c r="F31" s="320"/>
      <c r="G31" s="320"/>
      <c r="H31" s="320"/>
      <c r="I31" s="320">
        <v>28</v>
      </c>
      <c r="J31" s="320">
        <v>56</v>
      </c>
      <c r="K31" s="320">
        <v>1</v>
      </c>
      <c r="L31" s="321">
        <v>2</v>
      </c>
      <c r="M31" s="315"/>
      <c r="N31" s="316"/>
      <c r="O31" s="315"/>
      <c r="P31" s="315"/>
      <c r="Q31" s="315"/>
      <c r="R31" s="315"/>
    </row>
    <row r="32" spans="1:18" ht="69" customHeight="1">
      <c r="A32" s="335">
        <v>22</v>
      </c>
      <c r="B32" s="305" t="s">
        <v>266</v>
      </c>
      <c r="C32" s="318">
        <f>E32+I32+M32+O32+Q32</f>
        <v>0</v>
      </c>
      <c r="D32" s="381">
        <f>F32+J32</f>
        <v>0</v>
      </c>
      <c r="E32" s="320"/>
      <c r="F32" s="320"/>
      <c r="G32" s="320"/>
      <c r="H32" s="320"/>
      <c r="I32" s="320"/>
      <c r="J32" s="320"/>
      <c r="K32" s="320"/>
      <c r="L32" s="321"/>
      <c r="M32" s="315"/>
      <c r="N32" s="316"/>
      <c r="O32" s="315"/>
      <c r="P32" s="315"/>
      <c r="Q32" s="315"/>
      <c r="R32" s="315"/>
    </row>
    <row r="33" spans="1:18" ht="40.5" customHeight="1">
      <c r="A33" s="335">
        <v>23</v>
      </c>
      <c r="B33" s="305" t="s">
        <v>147</v>
      </c>
      <c r="C33" s="318">
        <f>E33+I33+M33+O33+Q33</f>
        <v>0</v>
      </c>
      <c r="D33" s="381">
        <f>F33+J33</f>
        <v>0</v>
      </c>
      <c r="E33" s="320"/>
      <c r="F33" s="320"/>
      <c r="G33" s="320"/>
      <c r="H33" s="320"/>
      <c r="I33" s="320"/>
      <c r="J33" s="320"/>
      <c r="K33" s="320"/>
      <c r="L33" s="321"/>
      <c r="M33" s="315"/>
      <c r="N33" s="316"/>
      <c r="O33" s="315"/>
      <c r="P33" s="315"/>
      <c r="Q33" s="315"/>
      <c r="R33" s="315"/>
    </row>
    <row r="34" spans="1:18" ht="33.75" customHeight="1">
      <c r="A34" s="335">
        <v>24</v>
      </c>
      <c r="B34" s="306" t="s">
        <v>154</v>
      </c>
      <c r="C34" s="318">
        <f t="shared" si="0"/>
        <v>127</v>
      </c>
      <c r="D34" s="381">
        <f>F34+J34</f>
        <v>254</v>
      </c>
      <c r="E34" s="320">
        <v>111</v>
      </c>
      <c r="F34" s="320">
        <v>222</v>
      </c>
      <c r="G34" s="320">
        <v>2</v>
      </c>
      <c r="H34" s="320">
        <v>4</v>
      </c>
      <c r="I34" s="320">
        <v>16</v>
      </c>
      <c r="J34" s="320">
        <v>32</v>
      </c>
      <c r="K34" s="320">
        <v>0</v>
      </c>
      <c r="L34" s="321">
        <v>0</v>
      </c>
      <c r="M34" s="315"/>
      <c r="N34" s="316"/>
      <c r="O34" s="315"/>
      <c r="P34" s="315"/>
      <c r="Q34" s="315"/>
      <c r="R34" s="315"/>
    </row>
    <row r="35" spans="1:18" ht="32.25" customHeight="1">
      <c r="A35" s="335">
        <v>25</v>
      </c>
      <c r="B35" s="307" t="s">
        <v>159</v>
      </c>
      <c r="C35" s="318">
        <f t="shared" si="0"/>
        <v>0</v>
      </c>
      <c r="D35" s="381">
        <f>F35+J35</f>
        <v>0</v>
      </c>
      <c r="E35" s="324"/>
      <c r="F35" s="324"/>
      <c r="G35" s="324"/>
      <c r="H35" s="324"/>
      <c r="I35" s="324"/>
      <c r="J35" s="324"/>
      <c r="K35" s="324"/>
      <c r="L35" s="324"/>
      <c r="M35" s="315"/>
      <c r="N35" s="316"/>
      <c r="O35" s="315"/>
      <c r="P35" s="315"/>
      <c r="Q35" s="315"/>
      <c r="R35" s="315"/>
    </row>
    <row r="36" spans="1:18" ht="15.75">
      <c r="A36" s="292" t="s">
        <v>282</v>
      </c>
      <c r="B36" s="291"/>
      <c r="C36" s="318">
        <f t="shared" si="0"/>
        <v>0</v>
      </c>
      <c r="D36" s="318">
        <v>0</v>
      </c>
      <c r="E36" s="318">
        <v>0</v>
      </c>
      <c r="F36" s="318">
        <v>0</v>
      </c>
      <c r="G36" s="318">
        <v>0</v>
      </c>
      <c r="H36" s="318">
        <v>0</v>
      </c>
      <c r="I36" s="318">
        <v>0</v>
      </c>
      <c r="J36" s="318">
        <v>0</v>
      </c>
      <c r="K36" s="318">
        <v>0</v>
      </c>
      <c r="L36" s="318">
        <v>0</v>
      </c>
      <c r="M36" s="315"/>
      <c r="N36" s="316"/>
      <c r="O36" s="315"/>
      <c r="P36" s="315"/>
      <c r="Q36" s="315"/>
      <c r="R36" s="315"/>
    </row>
    <row r="37" spans="1:18" ht="50.25" customHeight="1">
      <c r="A37" s="335">
        <v>26</v>
      </c>
      <c r="B37" s="191" t="s">
        <v>163</v>
      </c>
      <c r="C37" s="318">
        <v>0</v>
      </c>
      <c r="D37" s="382">
        <v>0</v>
      </c>
      <c r="E37" s="320"/>
      <c r="F37" s="320"/>
      <c r="G37" s="320"/>
      <c r="H37" s="320"/>
      <c r="I37" s="320"/>
      <c r="J37" s="320"/>
      <c r="K37" s="320"/>
      <c r="L37" s="321"/>
      <c r="M37" s="315"/>
      <c r="N37" s="316"/>
      <c r="O37" s="315"/>
      <c r="P37" s="315"/>
      <c r="Q37" s="315"/>
      <c r="R37" s="315"/>
    </row>
    <row r="38" spans="1:18" ht="20.25" customHeight="1">
      <c r="A38" s="335">
        <v>27</v>
      </c>
      <c r="B38" s="299" t="s">
        <v>167</v>
      </c>
      <c r="C38" s="318">
        <v>0</v>
      </c>
      <c r="D38" s="382">
        <v>0</v>
      </c>
      <c r="E38" s="320"/>
      <c r="F38" s="320"/>
      <c r="G38" s="320"/>
      <c r="H38" s="320"/>
      <c r="I38" s="320"/>
      <c r="J38" s="320"/>
      <c r="K38" s="320"/>
      <c r="L38" s="321"/>
      <c r="M38" s="315"/>
      <c r="N38" s="316"/>
      <c r="O38" s="315"/>
      <c r="P38" s="315"/>
      <c r="Q38" s="315"/>
      <c r="R38" s="315"/>
    </row>
    <row r="39" spans="1:18" ht="50.25" customHeight="1">
      <c r="A39" s="335">
        <v>28</v>
      </c>
      <c r="B39" s="299" t="s">
        <v>170</v>
      </c>
      <c r="C39" s="318">
        <v>0</v>
      </c>
      <c r="D39" s="382">
        <v>0</v>
      </c>
      <c r="E39" s="320"/>
      <c r="F39" s="320"/>
      <c r="G39" s="320"/>
      <c r="H39" s="320"/>
      <c r="I39" s="320"/>
      <c r="J39" s="320"/>
      <c r="K39" s="320"/>
      <c r="L39" s="321"/>
      <c r="M39" s="315"/>
      <c r="N39" s="316"/>
      <c r="O39" s="315"/>
      <c r="P39" s="315"/>
      <c r="Q39" s="315"/>
      <c r="R39" s="315"/>
    </row>
    <row r="40" spans="1:18" ht="15.75">
      <c r="A40" s="292" t="s">
        <v>283</v>
      </c>
      <c r="B40" s="292"/>
      <c r="C40" s="325">
        <f>E40+I40+M40+O40+Q40</f>
        <v>224</v>
      </c>
      <c r="D40" s="325">
        <f>D43</f>
        <v>448</v>
      </c>
      <c r="E40" s="325">
        <f aca="true" t="shared" si="3" ref="E40:L40">E43</f>
        <v>168</v>
      </c>
      <c r="F40" s="325">
        <f t="shared" si="3"/>
        <v>336</v>
      </c>
      <c r="G40" s="325">
        <f t="shared" si="3"/>
        <v>6</v>
      </c>
      <c r="H40" s="325">
        <f t="shared" si="3"/>
        <v>12</v>
      </c>
      <c r="I40" s="325">
        <f t="shared" si="3"/>
        <v>56</v>
      </c>
      <c r="J40" s="325">
        <f t="shared" si="3"/>
        <v>112</v>
      </c>
      <c r="K40" s="325">
        <f>K43</f>
        <v>3</v>
      </c>
      <c r="L40" s="325">
        <f t="shared" si="3"/>
        <v>6</v>
      </c>
      <c r="M40" s="315"/>
      <c r="N40" s="315"/>
      <c r="O40" s="315"/>
      <c r="P40" s="315"/>
      <c r="Q40" s="315"/>
      <c r="R40" s="315"/>
    </row>
    <row r="41" spans="1:18" ht="43.5" customHeight="1">
      <c r="A41" s="335">
        <v>29</v>
      </c>
      <c r="B41" s="305" t="s">
        <v>250</v>
      </c>
      <c r="C41" s="318">
        <f>E41+I41+M41+O41+Q41</f>
        <v>0</v>
      </c>
      <c r="D41" s="381">
        <f>F41+J41</f>
        <v>0</v>
      </c>
      <c r="E41" s="324"/>
      <c r="F41" s="324"/>
      <c r="G41" s="324"/>
      <c r="H41" s="324"/>
      <c r="I41" s="324"/>
      <c r="J41" s="324"/>
      <c r="K41" s="324"/>
      <c r="L41" s="324"/>
      <c r="M41" s="315"/>
      <c r="N41" s="315"/>
      <c r="O41" s="315"/>
      <c r="P41" s="315"/>
      <c r="Q41" s="315"/>
      <c r="R41" s="315"/>
    </row>
    <row r="42" spans="1:18" ht="34.5" customHeight="1">
      <c r="A42" s="289">
        <v>30</v>
      </c>
      <c r="B42" s="297" t="s">
        <v>180</v>
      </c>
      <c r="C42" s="318">
        <f>E42+I42+M42+O42+Q42</f>
        <v>0</v>
      </c>
      <c r="D42" s="381">
        <f>F42+J42</f>
        <v>0</v>
      </c>
      <c r="E42" s="320"/>
      <c r="F42" s="320"/>
      <c r="G42" s="320"/>
      <c r="H42" s="320"/>
      <c r="I42" s="320"/>
      <c r="J42" s="320"/>
      <c r="K42" s="320"/>
      <c r="L42" s="321"/>
      <c r="M42" s="315"/>
      <c r="N42" s="316"/>
      <c r="O42" s="315"/>
      <c r="P42" s="315"/>
      <c r="Q42" s="315"/>
      <c r="R42" s="315"/>
    </row>
    <row r="43" spans="1:18" ht="37.5" customHeight="1">
      <c r="A43" s="289">
        <v>31</v>
      </c>
      <c r="B43" s="331" t="s">
        <v>251</v>
      </c>
      <c r="C43" s="318">
        <f t="shared" si="0"/>
        <v>224</v>
      </c>
      <c r="D43" s="381">
        <f>F43+J43</f>
        <v>448</v>
      </c>
      <c r="E43" s="320">
        <v>168</v>
      </c>
      <c r="F43" s="320">
        <v>336</v>
      </c>
      <c r="G43" s="320">
        <v>6</v>
      </c>
      <c r="H43" s="320">
        <v>12</v>
      </c>
      <c r="I43" s="320">
        <v>56</v>
      </c>
      <c r="J43" s="320">
        <v>112</v>
      </c>
      <c r="K43" s="320">
        <v>3</v>
      </c>
      <c r="L43" s="321">
        <v>6</v>
      </c>
      <c r="M43" s="315"/>
      <c r="N43" s="316"/>
      <c r="O43" s="315"/>
      <c r="P43" s="315"/>
      <c r="Q43" s="315"/>
      <c r="R43" s="315"/>
    </row>
    <row r="44" spans="1:18" ht="55.5" customHeight="1">
      <c r="A44" s="292" t="s">
        <v>284</v>
      </c>
      <c r="B44" s="314" t="s">
        <v>285</v>
      </c>
      <c r="C44" s="325">
        <f>E44+I44+M44+O44+Q44</f>
        <v>41</v>
      </c>
      <c r="D44" s="328">
        <f>SUM(D45:D48)</f>
        <v>180</v>
      </c>
      <c r="E44" s="328">
        <v>18</v>
      </c>
      <c r="F44" s="328">
        <f>SUM(F45:F48)</f>
        <v>134</v>
      </c>
      <c r="G44" s="328">
        <v>0</v>
      </c>
      <c r="H44" s="328">
        <f>SUM(H45:H48)</f>
        <v>0</v>
      </c>
      <c r="I44" s="328">
        <v>23</v>
      </c>
      <c r="J44" s="328">
        <f>SUM(J45:J48)</f>
        <v>46</v>
      </c>
      <c r="K44" s="328">
        <v>0</v>
      </c>
      <c r="L44" s="328">
        <f>SUM(L45:L48)</f>
        <v>0</v>
      </c>
      <c r="M44" s="329"/>
      <c r="N44" s="329"/>
      <c r="O44" s="329"/>
      <c r="P44" s="329"/>
      <c r="Q44" s="329"/>
      <c r="R44" s="329"/>
    </row>
    <row r="45" spans="1:18" ht="51.75" customHeight="1">
      <c r="A45" s="335">
        <v>32</v>
      </c>
      <c r="B45" s="299" t="s">
        <v>267</v>
      </c>
      <c r="C45" s="318">
        <f t="shared" si="0"/>
        <v>37</v>
      </c>
      <c r="D45" s="381">
        <f>F45+J45</f>
        <v>67</v>
      </c>
      <c r="E45" s="320">
        <v>14</v>
      </c>
      <c r="F45" s="320">
        <v>26</v>
      </c>
      <c r="G45" s="320">
        <v>0</v>
      </c>
      <c r="H45" s="320">
        <v>0</v>
      </c>
      <c r="I45" s="320">
        <v>23</v>
      </c>
      <c r="J45" s="320">
        <v>41</v>
      </c>
      <c r="K45" s="320">
        <v>0</v>
      </c>
      <c r="L45" s="321">
        <v>0</v>
      </c>
      <c r="M45" s="315"/>
      <c r="N45" s="316"/>
      <c r="O45" s="315"/>
      <c r="P45" s="315"/>
      <c r="Q45" s="315"/>
      <c r="R45" s="315"/>
    </row>
    <row r="46" spans="1:18" ht="41.25" customHeight="1">
      <c r="A46" s="335">
        <v>33</v>
      </c>
      <c r="B46" s="308" t="s">
        <v>193</v>
      </c>
      <c r="C46" s="318">
        <f t="shared" si="0"/>
        <v>21</v>
      </c>
      <c r="D46" s="381">
        <f>F46+J46</f>
        <v>41</v>
      </c>
      <c r="E46" s="320">
        <v>18</v>
      </c>
      <c r="F46" s="320">
        <v>36</v>
      </c>
      <c r="G46" s="320">
        <v>0</v>
      </c>
      <c r="H46" s="320">
        <v>0</v>
      </c>
      <c r="I46" s="320">
        <v>3</v>
      </c>
      <c r="J46" s="320">
        <v>5</v>
      </c>
      <c r="K46" s="320">
        <v>0</v>
      </c>
      <c r="L46" s="321">
        <v>0</v>
      </c>
      <c r="M46" s="315"/>
      <c r="N46" s="316"/>
      <c r="O46" s="315"/>
      <c r="P46" s="315"/>
      <c r="Q46" s="315"/>
      <c r="R46" s="315"/>
    </row>
    <row r="47" spans="1:18" ht="37.5" customHeight="1">
      <c r="A47" s="335">
        <v>34</v>
      </c>
      <c r="B47" s="299" t="s">
        <v>197</v>
      </c>
      <c r="C47" s="318">
        <v>0</v>
      </c>
      <c r="D47" s="381">
        <v>0</v>
      </c>
      <c r="E47" s="320"/>
      <c r="F47" s="320"/>
      <c r="G47" s="320"/>
      <c r="H47" s="320"/>
      <c r="I47" s="320"/>
      <c r="J47" s="320"/>
      <c r="K47" s="320"/>
      <c r="L47" s="321"/>
      <c r="M47" s="315"/>
      <c r="N47" s="316"/>
      <c r="O47" s="315"/>
      <c r="P47" s="315"/>
      <c r="Q47" s="315"/>
      <c r="R47" s="315"/>
    </row>
    <row r="48" spans="1:18" ht="35.25" customHeight="1">
      <c r="A48" s="335">
        <v>35</v>
      </c>
      <c r="B48" s="299" t="s">
        <v>201</v>
      </c>
      <c r="C48" s="318">
        <f t="shared" si="0"/>
        <v>6</v>
      </c>
      <c r="D48" s="381">
        <f>F48+J48</f>
        <v>72</v>
      </c>
      <c r="E48" s="320">
        <v>6</v>
      </c>
      <c r="F48" s="320">
        <v>72</v>
      </c>
      <c r="G48" s="320">
        <v>0</v>
      </c>
      <c r="H48" s="320">
        <v>0</v>
      </c>
      <c r="I48" s="320">
        <v>0</v>
      </c>
      <c r="J48" s="320">
        <v>0</v>
      </c>
      <c r="K48" s="320">
        <v>0</v>
      </c>
      <c r="L48" s="321">
        <v>0</v>
      </c>
      <c r="M48" s="315"/>
      <c r="N48" s="316"/>
      <c r="O48" s="315"/>
      <c r="P48" s="315"/>
      <c r="Q48" s="315"/>
      <c r="R48" s="315"/>
    </row>
    <row r="49" spans="1:18" ht="15.75">
      <c r="A49" s="292" t="s">
        <v>287</v>
      </c>
      <c r="B49" s="292"/>
      <c r="C49" s="325">
        <f>E49+I49+M49+O49+Q49</f>
        <v>2</v>
      </c>
      <c r="D49" s="325">
        <f>SUM(D50:D54)</f>
        <v>783</v>
      </c>
      <c r="E49" s="325">
        <f aca="true" t="shared" si="4" ref="E49:L49">SUM(E50:E54)</f>
        <v>0</v>
      </c>
      <c r="F49" s="325">
        <f t="shared" si="4"/>
        <v>0</v>
      </c>
      <c r="G49" s="325">
        <f t="shared" si="4"/>
        <v>0</v>
      </c>
      <c r="H49" s="325">
        <f t="shared" si="4"/>
        <v>0</v>
      </c>
      <c r="I49" s="325">
        <f t="shared" si="4"/>
        <v>0</v>
      </c>
      <c r="J49" s="325">
        <f t="shared" si="4"/>
        <v>0</v>
      </c>
      <c r="K49" s="325">
        <f t="shared" si="4"/>
        <v>0</v>
      </c>
      <c r="L49" s="325">
        <f t="shared" si="4"/>
        <v>0</v>
      </c>
      <c r="M49" s="325"/>
      <c r="N49" s="325"/>
      <c r="O49" s="325">
        <v>1</v>
      </c>
      <c r="P49" s="325">
        <f>SUM(P50:P54)</f>
        <v>197</v>
      </c>
      <c r="Q49" s="325">
        <v>1</v>
      </c>
      <c r="R49" s="325">
        <f>SUM(R50:R54)</f>
        <v>586</v>
      </c>
    </row>
    <row r="50" spans="1:18" ht="34.5" customHeight="1">
      <c r="A50" s="335">
        <v>36</v>
      </c>
      <c r="B50" s="299" t="s">
        <v>309</v>
      </c>
      <c r="C50" s="319">
        <f>E50+I50+M50+O50+Q50</f>
        <v>104</v>
      </c>
      <c r="D50" s="326">
        <f>F50+J50+P50+R50</f>
        <v>406</v>
      </c>
      <c r="E50" s="320"/>
      <c r="F50" s="320"/>
      <c r="G50" s="320"/>
      <c r="H50" s="320"/>
      <c r="I50" s="320"/>
      <c r="J50" s="320"/>
      <c r="K50" s="320"/>
      <c r="L50" s="321"/>
      <c r="M50" s="315"/>
      <c r="N50" s="316"/>
      <c r="O50" s="317">
        <v>26</v>
      </c>
      <c r="P50" s="317">
        <v>128</v>
      </c>
      <c r="Q50" s="315">
        <v>78</v>
      </c>
      <c r="R50" s="315">
        <v>278</v>
      </c>
    </row>
    <row r="51" spans="1:18" ht="38.25" customHeight="1">
      <c r="A51" s="335">
        <v>37</v>
      </c>
      <c r="B51" s="299" t="s">
        <v>259</v>
      </c>
      <c r="C51" s="319">
        <f>E51+I51+M51+O51+Q51</f>
        <v>101</v>
      </c>
      <c r="D51" s="326">
        <f>F51+J51+P51+R51</f>
        <v>223</v>
      </c>
      <c r="E51" s="320"/>
      <c r="F51" s="320"/>
      <c r="G51" s="320"/>
      <c r="H51" s="320"/>
      <c r="I51" s="320"/>
      <c r="J51" s="320"/>
      <c r="K51" s="320"/>
      <c r="L51" s="321"/>
      <c r="M51" s="315"/>
      <c r="N51" s="316"/>
      <c r="O51" s="317">
        <v>26</v>
      </c>
      <c r="P51" s="317">
        <v>68</v>
      </c>
      <c r="Q51" s="315">
        <v>75</v>
      </c>
      <c r="R51" s="315">
        <v>155</v>
      </c>
    </row>
    <row r="52" spans="1:18" ht="21" customHeight="1">
      <c r="A52" s="335">
        <v>38</v>
      </c>
      <c r="B52" s="299" t="s">
        <v>260</v>
      </c>
      <c r="C52" s="319">
        <f t="shared" si="0"/>
        <v>1</v>
      </c>
      <c r="D52" s="326">
        <f>F52+J52+P52+R52</f>
        <v>1</v>
      </c>
      <c r="E52" s="320"/>
      <c r="F52" s="320"/>
      <c r="G52" s="320"/>
      <c r="H52" s="320"/>
      <c r="I52" s="320"/>
      <c r="J52" s="320"/>
      <c r="K52" s="320"/>
      <c r="L52" s="321"/>
      <c r="M52" s="315"/>
      <c r="N52" s="316"/>
      <c r="O52" s="317">
        <v>1</v>
      </c>
      <c r="P52" s="317">
        <v>1</v>
      </c>
      <c r="Q52" s="315"/>
      <c r="R52" s="315"/>
    </row>
    <row r="53" spans="1:18" ht="49.5" customHeight="1">
      <c r="A53" s="335">
        <v>39</v>
      </c>
      <c r="B53" s="299" t="s">
        <v>261</v>
      </c>
      <c r="C53" s="319">
        <f t="shared" si="0"/>
        <v>3</v>
      </c>
      <c r="D53" s="326">
        <f>F53+J53+P53+R53</f>
        <v>3</v>
      </c>
      <c r="E53" s="320"/>
      <c r="F53" s="320"/>
      <c r="G53" s="320"/>
      <c r="H53" s="320"/>
      <c r="I53" s="320"/>
      <c r="J53" s="320"/>
      <c r="K53" s="320"/>
      <c r="L53" s="321"/>
      <c r="M53" s="315"/>
      <c r="N53" s="316"/>
      <c r="O53" s="317"/>
      <c r="P53" s="317"/>
      <c r="Q53" s="317">
        <v>3</v>
      </c>
      <c r="R53" s="317">
        <v>3</v>
      </c>
    </row>
    <row r="54" spans="1:18" ht="51" customHeight="1">
      <c r="A54" s="333">
        <v>40</v>
      </c>
      <c r="B54" s="309" t="s">
        <v>262</v>
      </c>
      <c r="C54" s="319">
        <f t="shared" si="0"/>
        <v>50</v>
      </c>
      <c r="D54" s="326">
        <f>F54+J54+P54+R54</f>
        <v>150</v>
      </c>
      <c r="E54" s="320"/>
      <c r="F54" s="320"/>
      <c r="G54" s="320"/>
      <c r="H54" s="320"/>
      <c r="I54" s="320"/>
      <c r="J54" s="320"/>
      <c r="K54" s="320"/>
      <c r="L54" s="324"/>
      <c r="M54" s="315"/>
      <c r="N54" s="316"/>
      <c r="O54" s="317"/>
      <c r="P54" s="317"/>
      <c r="Q54" s="317">
        <v>50</v>
      </c>
      <c r="R54" s="317">
        <v>150</v>
      </c>
    </row>
    <row r="55" spans="1:18" ht="15.75">
      <c r="A55" s="335">
        <v>41</v>
      </c>
      <c r="B55" s="293" t="s">
        <v>234</v>
      </c>
      <c r="C55" s="325">
        <f>E55+I55+M55+O55+Q55</f>
        <v>227</v>
      </c>
      <c r="D55" s="330">
        <f>D49+D44+D40+D30+D26+D19+D7</f>
        <v>147557</v>
      </c>
      <c r="E55" s="328">
        <v>168</v>
      </c>
      <c r="F55" s="330">
        <f>F49+F44+F40+F30+F26+F19+F7</f>
        <v>68530</v>
      </c>
      <c r="G55" s="328">
        <v>6</v>
      </c>
      <c r="H55" s="330">
        <f>H49+H44+H40+H30+H26+H19+H7</f>
        <v>4682</v>
      </c>
      <c r="I55" s="328">
        <v>56</v>
      </c>
      <c r="J55" s="330">
        <f>J49+J44+J40+J30+J26+J19+J7</f>
        <v>78092</v>
      </c>
      <c r="K55" s="328">
        <v>3</v>
      </c>
      <c r="L55" s="330">
        <f>L49+L44+L40+L30+L26+L19+L7</f>
        <v>3468</v>
      </c>
      <c r="M55" s="328">
        <f>M48+M47+M46+M45+M43+M42+M41+M39+M38+M37+M34+M35+M33+M32+M31+M29+M28+M27+M25+M24+M23+M22+M21+M20+M18+M17+M16+M15+M14+M13+M12+M11+M10+M9+M8</f>
        <v>1</v>
      </c>
      <c r="N55" s="330">
        <f>N49+N44+N40+N30+N26+N19+N7</f>
        <v>152</v>
      </c>
      <c r="O55" s="330">
        <v>1</v>
      </c>
      <c r="P55" s="330">
        <f>P49+P44+P40+P30+P26+P19+P7</f>
        <v>197</v>
      </c>
      <c r="Q55" s="330">
        <v>1</v>
      </c>
      <c r="R55" s="330">
        <f>R49+R44+R40+R30+R26+R19+R7</f>
        <v>586</v>
      </c>
    </row>
    <row r="56" spans="1:18" ht="15.75">
      <c r="A56" s="310"/>
      <c r="B56" s="310"/>
      <c r="C56" s="310"/>
      <c r="D56" s="332"/>
      <c r="E56" s="311"/>
      <c r="F56" s="311"/>
      <c r="G56" s="311"/>
      <c r="H56" s="311"/>
      <c r="I56" s="311"/>
      <c r="J56" s="311"/>
      <c r="K56" s="310"/>
      <c r="L56" s="310"/>
      <c r="M56" s="310"/>
      <c r="N56" s="310"/>
      <c r="O56" s="312"/>
      <c r="P56" s="312"/>
      <c r="Q56" s="310"/>
      <c r="R56" s="310"/>
    </row>
    <row r="57" spans="1:18" ht="15.75">
      <c r="A57" s="310"/>
      <c r="B57" s="310"/>
      <c r="C57" s="310"/>
      <c r="D57" s="332"/>
      <c r="E57" s="311"/>
      <c r="F57" s="311"/>
      <c r="G57" s="311"/>
      <c r="H57" s="311"/>
      <c r="I57" s="311"/>
      <c r="J57" s="311"/>
      <c r="K57" s="310"/>
      <c r="L57" s="310"/>
      <c r="M57" s="310"/>
      <c r="N57" s="310"/>
      <c r="O57" s="312"/>
      <c r="P57" s="312"/>
      <c r="Q57" s="310"/>
      <c r="R57" s="310"/>
    </row>
  </sheetData>
  <sheetProtection/>
  <mergeCells count="12">
    <mergeCell ref="O5:P5"/>
    <mergeCell ref="Q5:R5"/>
    <mergeCell ref="N1:R1"/>
    <mergeCell ref="A2:R2"/>
    <mergeCell ref="A3:R3"/>
    <mergeCell ref="A4:A6"/>
    <mergeCell ref="B4:B6"/>
    <mergeCell ref="C4:D5"/>
    <mergeCell ref="E4:R4"/>
    <mergeCell ref="E5:H5"/>
    <mergeCell ref="I5:L5"/>
    <mergeCell ref="M5:N5"/>
  </mergeCells>
  <printOptions/>
  <pageMargins left="0.31496062992125984" right="0.31496062992125984" top="0.5511811023622047" bottom="0.5511811023622047" header="0.31496062992125984" footer="0.3149606299212598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Паражинскене</dc:creator>
  <cp:keywords/>
  <dc:description/>
  <cp:lastModifiedBy>Яна</cp:lastModifiedBy>
  <cp:lastPrinted>2021-01-18T09:29:25Z</cp:lastPrinted>
  <dcterms:created xsi:type="dcterms:W3CDTF">2014-12-22T16:48:24Z</dcterms:created>
  <dcterms:modified xsi:type="dcterms:W3CDTF">2021-10-07T12:22:52Z</dcterms:modified>
  <cp:category/>
  <cp:version/>
  <cp:contentType/>
  <cp:contentStatus/>
</cp:coreProperties>
</file>